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995" windowHeight="117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<sst xmlns="http://schemas.openxmlformats.org/spreadsheetml/2006/main" count="61" uniqueCount="45">
  <si>
    <t>Rv</t>
  </si>
  <si>
    <t>Rs</t>
  </si>
  <si>
    <t>Rsmax</t>
  </si>
  <si>
    <t>Rsmin</t>
  </si>
  <si>
    <t>Ub =</t>
  </si>
  <si>
    <t>V</t>
  </si>
  <si>
    <t>Rges</t>
  </si>
  <si>
    <t>Urs</t>
  </si>
  <si>
    <t>dU</t>
  </si>
  <si>
    <t>digits</t>
  </si>
  <si>
    <t>Schritte</t>
  </si>
  <si>
    <t>Iges</t>
  </si>
  <si>
    <t>mA</t>
  </si>
  <si>
    <t>dI</t>
  </si>
  <si>
    <t>Temp in °C</t>
  </si>
  <si>
    <t>Us in V</t>
  </si>
  <si>
    <t>Uv in V</t>
  </si>
  <si>
    <t>I in µA</t>
  </si>
  <si>
    <t>Rs in Ohm</t>
  </si>
  <si>
    <t>Rv =</t>
  </si>
  <si>
    <t>Ohm</t>
  </si>
  <si>
    <t>Us ber</t>
  </si>
  <si>
    <t>Delta Us</t>
  </si>
  <si>
    <t>Delta digits</t>
  </si>
  <si>
    <t>Temp ber</t>
  </si>
  <si>
    <t>Delta temp</t>
  </si>
  <si>
    <t>Temp soll</t>
  </si>
  <si>
    <t>m =</t>
  </si>
  <si>
    <t>t =</t>
  </si>
  <si>
    <t>x</t>
  </si>
  <si>
    <t>y</t>
  </si>
  <si>
    <t>Digits</t>
  </si>
  <si>
    <t>Delta Digits</t>
  </si>
  <si>
    <t>I in mA</t>
  </si>
  <si>
    <t>Us reduziert</t>
  </si>
  <si>
    <t>Digits red.</t>
  </si>
  <si>
    <t>Delta red.</t>
  </si>
  <si>
    <t>Faktor</t>
  </si>
  <si>
    <t xml:space="preserve"> 1 : </t>
  </si>
  <si>
    <t>Merken</t>
  </si>
  <si>
    <t>Leistung im Sensor in mW</t>
  </si>
  <si>
    <t>Delta Us in V</t>
  </si>
  <si>
    <t>dUs</t>
  </si>
  <si>
    <t>dtheta</t>
  </si>
  <si>
    <t>dUs/dtheta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</si>
</sst>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%"/>
    <numFmt numFmtId="166" formatCode="0.000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vertAlign val="superscript"/>
      <sz val="12"/>
      <name val="Arial"/>
      <family val="0"/>
    </font>
    <font>
      <b/>
      <sz val="12"/>
      <name val="Arial"/>
      <family val="0"/>
    </font>
    <font>
      <b/>
      <sz val="13.5"/>
      <name val="Arial"/>
      <family val="2"/>
    </font>
    <font>
      <b/>
      <vertAlign val="superscript"/>
      <sz val="13.5"/>
      <name val="Arial"/>
      <family val="2"/>
    </font>
    <font>
      <b/>
      <sz val="20"/>
      <name val="Arial"/>
      <family val="2"/>
    </font>
    <font>
      <b/>
      <vertAlign val="superscript"/>
      <sz val="20"/>
      <name val="Arial"/>
      <family val="2"/>
    </font>
    <font>
      <vertAlign val="superscript"/>
      <sz val="8"/>
      <name val="Arial"/>
      <family val="0"/>
    </font>
    <font>
      <b/>
      <sz val="8.25"/>
      <name val="Arial"/>
      <family val="0"/>
    </font>
    <font>
      <sz val="5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2" fontId="0" fillId="3" borderId="1" xfId="0" applyNumberFormat="1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ont>
        <b/>
        <i val="0"/>
        <color rgb="FFFF0000"/>
      </font>
      <fill>
        <patternFill patternType="solid"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Us in 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17"/>
          <c:w val="0.97625"/>
          <c:h val="0.8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Tabelle1!$A$14:$A$37</c:f>
              <c:numCache/>
            </c:numRef>
          </c:xVal>
          <c:yVal>
            <c:numRef>
              <c:f>Tabelle1!$B$14:$B$37</c:f>
              <c:numCache/>
            </c:numRef>
          </c:yVal>
          <c:smooth val="0"/>
        </c:ser>
        <c:axId val="20926259"/>
        <c:axId val="54118604"/>
      </c:scatterChart>
      <c:valAx>
        <c:axId val="20926259"/>
        <c:scaling>
          <c:orientation val="minMax"/>
          <c:max val="100"/>
          <c:min val="-2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118604"/>
        <c:crosses val="autoZero"/>
        <c:crossBetween val="midCat"/>
        <c:dispUnits/>
        <c:majorUnit val="10"/>
        <c:minorUnit val="5"/>
      </c:valAx>
      <c:valAx>
        <c:axId val="54118604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262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Tabelle1!$F$48</c:f>
              <c:strCache>
                <c:ptCount val="1"/>
                <c:pt idx="0">
                  <c:v>dUs/dtheta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Tabelle1!$A$49:$A$71</c:f>
              <c:numCache/>
            </c:numRef>
          </c:xVal>
          <c:yVal>
            <c:numRef>
              <c:f>Tabelle1!$F$49:$F$71</c:f>
              <c:numCache/>
            </c:numRef>
          </c:yVal>
          <c:smooth val="0"/>
        </c:ser>
        <c:axId val="38163325"/>
        <c:axId val="7925606"/>
      </c:scatterChart>
      <c:valAx>
        <c:axId val="381633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925606"/>
        <c:crosses val="autoZero"/>
        <c:crossBetween val="midCat"/>
        <c:dispUnits/>
      </c:valAx>
      <c:valAx>
        <c:axId val="79256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633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Rs in Ohm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Tabelle1!$E$13</c:f>
              <c:strCache>
                <c:ptCount val="1"/>
                <c:pt idx="0">
                  <c:v>Rs in Ohm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0"/>
            <c:dispRSqr val="0"/>
          </c:trendline>
          <c:xVal>
            <c:numRef>
              <c:f>Tabelle1!$A$14:$A$37</c:f>
              <c:numCache/>
            </c:numRef>
          </c:xVal>
          <c:yVal>
            <c:numRef>
              <c:f>Tabelle1!$E$14:$E$37</c:f>
              <c:numCache/>
            </c:numRef>
          </c:yVal>
          <c:smooth val="0"/>
        </c:ser>
        <c:axId val="17305389"/>
        <c:axId val="21530774"/>
      </c:scatterChart>
      <c:valAx>
        <c:axId val="173053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530774"/>
        <c:crosses val="autoZero"/>
        <c:crossBetween val="midCat"/>
        <c:dispUnits/>
      </c:valAx>
      <c:valAx>
        <c:axId val="21530774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053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Tabelle1!$D$42:$D$45</c:f>
              <c:numCache/>
            </c:numRef>
          </c:xVal>
          <c:yVal>
            <c:numRef>
              <c:f>Tabelle1!$E$42:$E$45</c:f>
              <c:numCache/>
            </c:numRef>
          </c:yVal>
          <c:smooth val="0"/>
        </c:ser>
        <c:axId val="59559239"/>
        <c:axId val="66271104"/>
      </c:scatterChart>
      <c:valAx>
        <c:axId val="5955923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271104"/>
        <c:crosses val="autoZero"/>
        <c:crossBetween val="midCat"/>
        <c:dispUnits/>
      </c:valAx>
      <c:valAx>
        <c:axId val="662711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592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Tabelle1!$D$42:$D$44</c:f>
              <c:numCache/>
            </c:numRef>
          </c:xVal>
          <c:yVal>
            <c:numRef>
              <c:f>Tabelle1!$E$42:$E$44</c:f>
              <c:numCache/>
            </c:numRef>
          </c:yVal>
          <c:smooth val="0"/>
        </c:ser>
        <c:axId val="59569025"/>
        <c:axId val="66359178"/>
      </c:scatterChart>
      <c:valAx>
        <c:axId val="595690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359178"/>
        <c:crosses val="autoZero"/>
        <c:crossBetween val="midCat"/>
        <c:dispUnits/>
      </c:valAx>
      <c:valAx>
        <c:axId val="663591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690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Rs in Ohm (Stützwerte)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Tabelle1!$J$42</c:f>
              <c:strCache>
                <c:ptCount val="1"/>
                <c:pt idx="0">
                  <c:v>Rs in Ohm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0"/>
            <c:dispRSqr val="0"/>
          </c:trendline>
          <c:xVal>
            <c:numRef>
              <c:f>Tabelle1!$I$43:$I$58</c:f>
              <c:numCache/>
            </c:numRef>
          </c:xVal>
          <c:yVal>
            <c:numRef>
              <c:f>Tabelle1!$J$43:$J$58</c:f>
              <c:numCache/>
            </c:numRef>
          </c:yVal>
          <c:smooth val="0"/>
        </c:ser>
        <c:axId val="60361691"/>
        <c:axId val="6384308"/>
      </c:scatterChart>
      <c:valAx>
        <c:axId val="6036169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84308"/>
        <c:crosses val="autoZero"/>
        <c:crossBetween val="midCat"/>
        <c:dispUnits/>
      </c:valAx>
      <c:valAx>
        <c:axId val="6384308"/>
        <c:scaling>
          <c:logBase val="10"/>
          <c:orientation val="minMax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3616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Tabelle1!$S$42</c:f>
              <c:strCache>
                <c:ptCount val="1"/>
                <c:pt idx="0">
                  <c:v>Leistung im Sensor in mW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Tabelle1!$I$43:$I$58</c:f>
              <c:numCache/>
            </c:numRef>
          </c:xVal>
          <c:yVal>
            <c:numRef>
              <c:f>Tabelle1!$S$43:$S$58</c:f>
              <c:numCache/>
            </c:numRef>
          </c:yVal>
          <c:smooth val="0"/>
        </c:ser>
        <c:axId val="57458773"/>
        <c:axId val="47366910"/>
      </c:scatterChart>
      <c:valAx>
        <c:axId val="5745877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366910"/>
        <c:crosses val="autoZero"/>
        <c:crossBetween val="midCat"/>
        <c:dispUnits/>
      </c:valAx>
      <c:valAx>
        <c:axId val="473669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587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Tabelle1!$Q$42</c:f>
              <c:strCache>
                <c:ptCount val="1"/>
                <c:pt idx="0">
                  <c:v>Digits red.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Tabelle1!$I$43:$I$58</c:f>
              <c:numCache/>
            </c:numRef>
          </c:xVal>
          <c:yVal>
            <c:numRef>
              <c:f>Tabelle1!$Q$43:$Q$58</c:f>
              <c:numCache/>
            </c:numRef>
          </c:yVal>
          <c:smooth val="0"/>
        </c:ser>
        <c:axId val="23649007"/>
        <c:axId val="11514472"/>
      </c:scatterChart>
      <c:valAx>
        <c:axId val="23649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514472"/>
        <c:crosses val="autoZero"/>
        <c:crossBetween val="midCat"/>
        <c:dispUnits/>
      </c:valAx>
      <c:valAx>
        <c:axId val="115144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490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Tabelle1!$N$42</c:f>
              <c:strCache>
                <c:ptCount val="1"/>
                <c:pt idx="0">
                  <c:v>Delta Digits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Tabelle1!$I$43:$I$58</c:f>
              <c:numCache/>
            </c:numRef>
          </c:xVal>
          <c:yVal>
            <c:numRef>
              <c:f>Tabelle1!$N$43:$N$58</c:f>
              <c:numCache/>
            </c:numRef>
          </c:yVal>
          <c:smooth val="0"/>
        </c:ser>
        <c:axId val="36521385"/>
        <c:axId val="60257010"/>
      </c:scatterChart>
      <c:valAx>
        <c:axId val="365213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257010"/>
        <c:crosses val="autoZero"/>
        <c:crossBetween val="midCat"/>
        <c:dispUnits/>
      </c:valAx>
      <c:valAx>
        <c:axId val="602570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5213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Us in V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Tabelle1!$K$42</c:f>
              <c:strCache>
                <c:ptCount val="1"/>
                <c:pt idx="0">
                  <c:v>Us in 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Tabelle1!$I$43:$I$58</c:f>
              <c:numCache/>
            </c:numRef>
          </c:xVal>
          <c:yVal>
            <c:numRef>
              <c:f>Tabelle1!$K$43:$K$58</c:f>
              <c:numCache/>
            </c:numRef>
          </c:yVal>
          <c:smooth val="1"/>
        </c:ser>
        <c:axId val="5442179"/>
        <c:axId val="48979612"/>
      </c:scatterChart>
      <c:valAx>
        <c:axId val="54421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979612"/>
        <c:crosses val="autoZero"/>
        <c:crossBetween val="midCat"/>
        <c:dispUnits/>
      </c:valAx>
      <c:valAx>
        <c:axId val="489796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421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238125</xdr:colOff>
      <xdr:row>0</xdr:row>
      <xdr:rowOff>38100</xdr:rowOff>
    </xdr:from>
    <xdr:to>
      <xdr:col>20</xdr:col>
      <xdr:colOff>76200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7858125" y="38100"/>
        <a:ext cx="90487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47625</xdr:colOff>
      <xdr:row>114</xdr:row>
      <xdr:rowOff>95250</xdr:rowOff>
    </xdr:from>
    <xdr:to>
      <xdr:col>11</xdr:col>
      <xdr:colOff>647700</xdr:colOff>
      <xdr:row>154</xdr:row>
      <xdr:rowOff>85725</xdr:rowOff>
    </xdr:to>
    <xdr:graphicFrame>
      <xdr:nvGraphicFramePr>
        <xdr:cNvPr id="2" name="Chart 2"/>
        <xdr:cNvGraphicFramePr/>
      </xdr:nvGraphicFramePr>
      <xdr:xfrm>
        <a:off x="1571625" y="18564225"/>
        <a:ext cx="7458075" cy="646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9525</xdr:colOff>
      <xdr:row>46</xdr:row>
      <xdr:rowOff>9525</xdr:rowOff>
    </xdr:from>
    <xdr:to>
      <xdr:col>30</xdr:col>
      <xdr:colOff>609600</xdr:colOff>
      <xdr:row>70</xdr:row>
      <xdr:rowOff>28575</xdr:rowOff>
    </xdr:to>
    <xdr:graphicFrame>
      <xdr:nvGraphicFramePr>
        <xdr:cNvPr id="3" name="Chart 7"/>
        <xdr:cNvGraphicFramePr/>
      </xdr:nvGraphicFramePr>
      <xdr:xfrm>
        <a:off x="17602200" y="7467600"/>
        <a:ext cx="7458075" cy="3905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0</xdr:colOff>
      <xdr:row>23</xdr:row>
      <xdr:rowOff>123825</xdr:rowOff>
    </xdr:from>
    <xdr:to>
      <xdr:col>30</xdr:col>
      <xdr:colOff>600075</xdr:colOff>
      <xdr:row>45</xdr:row>
      <xdr:rowOff>152400</xdr:rowOff>
    </xdr:to>
    <xdr:graphicFrame>
      <xdr:nvGraphicFramePr>
        <xdr:cNvPr id="4" name="Chart 8"/>
        <xdr:cNvGraphicFramePr/>
      </xdr:nvGraphicFramePr>
      <xdr:xfrm>
        <a:off x="17592675" y="3848100"/>
        <a:ext cx="7458075" cy="3600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114</xdr:row>
      <xdr:rowOff>95250</xdr:rowOff>
    </xdr:from>
    <xdr:to>
      <xdr:col>6</xdr:col>
      <xdr:colOff>514350</xdr:colOff>
      <xdr:row>148</xdr:row>
      <xdr:rowOff>0</xdr:rowOff>
    </xdr:to>
    <xdr:graphicFrame>
      <xdr:nvGraphicFramePr>
        <xdr:cNvPr id="5" name="Chart 9"/>
        <xdr:cNvGraphicFramePr/>
      </xdr:nvGraphicFramePr>
      <xdr:xfrm>
        <a:off x="0" y="18564225"/>
        <a:ext cx="5086350" cy="5410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533400</xdr:colOff>
      <xdr:row>59</xdr:row>
      <xdr:rowOff>0</xdr:rowOff>
    </xdr:from>
    <xdr:to>
      <xdr:col>20</xdr:col>
      <xdr:colOff>323850</xdr:colOff>
      <xdr:row>81</xdr:row>
      <xdr:rowOff>38100</xdr:rowOff>
    </xdr:to>
    <xdr:graphicFrame>
      <xdr:nvGraphicFramePr>
        <xdr:cNvPr id="6" name="Chart 10"/>
        <xdr:cNvGraphicFramePr/>
      </xdr:nvGraphicFramePr>
      <xdr:xfrm>
        <a:off x="11306175" y="9563100"/>
        <a:ext cx="5848350" cy="3600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20</xdr:col>
      <xdr:colOff>361950</xdr:colOff>
      <xdr:row>59</xdr:row>
      <xdr:rowOff>19050</xdr:rowOff>
    </xdr:from>
    <xdr:to>
      <xdr:col>26</xdr:col>
      <xdr:colOff>133350</xdr:colOff>
      <xdr:row>81</xdr:row>
      <xdr:rowOff>57150</xdr:rowOff>
    </xdr:to>
    <xdr:graphicFrame>
      <xdr:nvGraphicFramePr>
        <xdr:cNvPr id="7" name="Chart 12"/>
        <xdr:cNvGraphicFramePr/>
      </xdr:nvGraphicFramePr>
      <xdr:xfrm>
        <a:off x="17192625" y="9582150"/>
        <a:ext cx="4343400" cy="3600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59</xdr:row>
      <xdr:rowOff>0</xdr:rowOff>
    </xdr:from>
    <xdr:to>
      <xdr:col>14</xdr:col>
      <xdr:colOff>514350</xdr:colOff>
      <xdr:row>81</xdr:row>
      <xdr:rowOff>38100</xdr:rowOff>
    </xdr:to>
    <xdr:graphicFrame>
      <xdr:nvGraphicFramePr>
        <xdr:cNvPr id="8" name="Chart 13"/>
        <xdr:cNvGraphicFramePr/>
      </xdr:nvGraphicFramePr>
      <xdr:xfrm>
        <a:off x="6096000" y="9563100"/>
        <a:ext cx="5191125" cy="3600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638175</xdr:colOff>
      <xdr:row>59</xdr:row>
      <xdr:rowOff>0</xdr:rowOff>
    </xdr:from>
    <xdr:to>
      <xdr:col>7</xdr:col>
      <xdr:colOff>742950</xdr:colOff>
      <xdr:row>81</xdr:row>
      <xdr:rowOff>38100</xdr:rowOff>
    </xdr:to>
    <xdr:graphicFrame>
      <xdr:nvGraphicFramePr>
        <xdr:cNvPr id="9" name="Chart 14"/>
        <xdr:cNvGraphicFramePr/>
      </xdr:nvGraphicFramePr>
      <xdr:xfrm>
        <a:off x="1400175" y="9563100"/>
        <a:ext cx="4676775" cy="3600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11</xdr:col>
      <xdr:colOff>723900</xdr:colOff>
      <xdr:row>114</xdr:row>
      <xdr:rowOff>47625</xdr:rowOff>
    </xdr:from>
    <xdr:to>
      <xdr:col>19</xdr:col>
      <xdr:colOff>495300</xdr:colOff>
      <xdr:row>157</xdr:row>
      <xdr:rowOff>66675</xdr:rowOff>
    </xdr:to>
    <xdr:graphicFrame>
      <xdr:nvGraphicFramePr>
        <xdr:cNvPr id="10" name="Chart 17"/>
        <xdr:cNvGraphicFramePr/>
      </xdr:nvGraphicFramePr>
      <xdr:xfrm>
        <a:off x="9105900" y="18516600"/>
        <a:ext cx="7458075" cy="6981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72"/>
  <sheetViews>
    <sheetView tabSelected="1" workbookViewId="0" topLeftCell="C39">
      <selection activeCell="H55" sqref="H55"/>
    </sheetView>
  </sheetViews>
  <sheetFormatPr defaultColWidth="11.421875" defaultRowHeight="12.75"/>
  <cols>
    <col min="12" max="12" width="12.00390625" style="0" customWidth="1"/>
    <col min="14" max="14" width="12.421875" style="0" bestFit="1" customWidth="1"/>
    <col min="18" max="18" width="21.7109375" style="0" customWidth="1"/>
    <col min="19" max="19" width="23.421875" style="0" customWidth="1"/>
  </cols>
  <sheetData>
    <row r="2" spans="1:4" ht="12.75">
      <c r="A2" t="s">
        <v>0</v>
      </c>
      <c r="B2" s="2" t="s">
        <v>1</v>
      </c>
      <c r="C2" s="2" t="s">
        <v>2</v>
      </c>
      <c r="D2" s="2" t="s">
        <v>3</v>
      </c>
    </row>
    <row r="3" spans="1:4" ht="12.75">
      <c r="A3" s="3">
        <v>220000</v>
      </c>
      <c r="B3" s="7">
        <v>10000</v>
      </c>
      <c r="C3" s="7">
        <f>E14</f>
        <v>66666.66666666667</v>
      </c>
      <c r="D3" s="7">
        <f>E37</f>
        <v>721.2327396437862</v>
      </c>
    </row>
    <row r="4" spans="2:8" ht="12.75">
      <c r="B4" s="2"/>
      <c r="C4" s="2"/>
      <c r="D4" s="2"/>
      <c r="F4" s="1" t="s">
        <v>9</v>
      </c>
      <c r="G4" s="3">
        <f>G6/1.1*1023</f>
        <v>1076.862932972287</v>
      </c>
      <c r="H4" t="s">
        <v>10</v>
      </c>
    </row>
    <row r="5" spans="1:4" ht="12.75">
      <c r="A5" t="s">
        <v>6</v>
      </c>
      <c r="B5" s="7">
        <f>$A$3+B3</f>
        <v>230000</v>
      </c>
      <c r="C5" s="7">
        <f>$A$3+C3</f>
        <v>286666.6666666667</v>
      </c>
      <c r="D5" s="7">
        <f>$A$3+D3</f>
        <v>220721.23273964378</v>
      </c>
    </row>
    <row r="6" spans="1:7" ht="12.75">
      <c r="A6" t="s">
        <v>7</v>
      </c>
      <c r="B6" s="5">
        <f>B3*$E$12/B5</f>
        <v>0.21956521739130436</v>
      </c>
      <c r="C6" s="5">
        <f>C3*$E$12/C5</f>
        <v>1.1744186046511629</v>
      </c>
      <c r="D6" s="5">
        <f>D3*$E$12/D5</f>
        <v>0.016501472422897262</v>
      </c>
      <c r="F6" s="1" t="s">
        <v>8</v>
      </c>
      <c r="G6" s="5">
        <f>C6-D6</f>
        <v>1.1579171322282655</v>
      </c>
    </row>
    <row r="7" spans="2:7" ht="12.75">
      <c r="B7" s="2" t="s">
        <v>5</v>
      </c>
      <c r="C7" s="2" t="s">
        <v>5</v>
      </c>
      <c r="D7" s="2" t="s">
        <v>5</v>
      </c>
      <c r="G7" s="2" t="s">
        <v>5</v>
      </c>
    </row>
    <row r="8" spans="1:8" ht="12.75">
      <c r="A8" t="s">
        <v>11</v>
      </c>
      <c r="B8" s="4">
        <f>$E$12/B5*1000</f>
        <v>0.021956521739130434</v>
      </c>
      <c r="C8" s="4">
        <f>$E$12/C5*1000</f>
        <v>0.01761627906976744</v>
      </c>
      <c r="D8" s="4">
        <f>$E$12/D5*1000</f>
        <v>0.022879538761714103</v>
      </c>
      <c r="F8" s="1" t="s">
        <v>13</v>
      </c>
      <c r="G8" s="4">
        <f>D8-C8</f>
        <v>0.0052632596919466625</v>
      </c>
      <c r="H8" s="6">
        <f>G8/B8</f>
        <v>0.23971281765301633</v>
      </c>
    </row>
    <row r="9" spans="2:7" ht="12.75">
      <c r="B9" s="2" t="s">
        <v>12</v>
      </c>
      <c r="C9" s="2" t="s">
        <v>12</v>
      </c>
      <c r="D9" s="2" t="s">
        <v>12</v>
      </c>
      <c r="G9" s="2" t="s">
        <v>12</v>
      </c>
    </row>
    <row r="10" spans="3:4" ht="12.75">
      <c r="C10" s="8">
        <f>C8-B8</f>
        <v>-0.004340242669362993</v>
      </c>
      <c r="D10" s="8">
        <f>D8-B8</f>
        <v>0.0009230170225836692</v>
      </c>
    </row>
    <row r="12" spans="1:8" ht="12.75">
      <c r="A12" s="1" t="s">
        <v>19</v>
      </c>
      <c r="B12" s="2">
        <v>68000</v>
      </c>
      <c r="C12" t="s">
        <v>20</v>
      </c>
      <c r="D12" s="1" t="s">
        <v>4</v>
      </c>
      <c r="E12" s="2">
        <v>5.05</v>
      </c>
      <c r="F12" t="s">
        <v>5</v>
      </c>
      <c r="G12">
        <v>1.587</v>
      </c>
      <c r="H12">
        <v>-0.0354</v>
      </c>
    </row>
    <row r="13" spans="1:10" ht="12.75">
      <c r="A13" s="2" t="s">
        <v>14</v>
      </c>
      <c r="B13" s="2" t="s">
        <v>15</v>
      </c>
      <c r="C13" s="2" t="s">
        <v>16</v>
      </c>
      <c r="D13" s="2" t="s">
        <v>17</v>
      </c>
      <c r="E13" s="2" t="s">
        <v>18</v>
      </c>
      <c r="F13" s="2" t="s">
        <v>24</v>
      </c>
      <c r="G13" s="2" t="s">
        <v>25</v>
      </c>
      <c r="H13" s="2" t="s">
        <v>21</v>
      </c>
      <c r="I13" s="2" t="s">
        <v>22</v>
      </c>
      <c r="J13" s="2" t="s">
        <v>23</v>
      </c>
    </row>
    <row r="14" spans="1:10" ht="12.75">
      <c r="A14" s="2">
        <v>-14.5</v>
      </c>
      <c r="B14" s="2">
        <v>2.5</v>
      </c>
      <c r="C14" s="2">
        <f>$E$12-B14</f>
        <v>2.55</v>
      </c>
      <c r="D14" s="5">
        <f>C14/$B$12*1000000</f>
        <v>37.5</v>
      </c>
      <c r="E14" s="7">
        <f>B14/D14*1000000</f>
        <v>66666.66666666667</v>
      </c>
      <c r="F14" s="5">
        <f>LN(B14/$G$12)/$H$12</f>
        <v>-12.837437579940199</v>
      </c>
      <c r="G14" s="5">
        <f>F14-A14</f>
        <v>1.6625624200598015</v>
      </c>
      <c r="H14" s="11">
        <f>$G$12*EXP($H$12*A14)</f>
        <v>2.6515528288776467</v>
      </c>
      <c r="I14" s="11">
        <f>B14-H14</f>
        <v>-0.15155282887764665</v>
      </c>
      <c r="J14" s="7">
        <f>I14/1.1*1023</f>
        <v>-140.9441308562114</v>
      </c>
    </row>
    <row r="15" spans="1:10" ht="12.75">
      <c r="A15" s="2">
        <v>-11.1</v>
      </c>
      <c r="B15" s="2">
        <v>2.34</v>
      </c>
      <c r="C15" s="2">
        <f>$E$12-B15</f>
        <v>2.71</v>
      </c>
      <c r="D15" s="5">
        <f>C15/$B$12*1000000</f>
        <v>39.85294117647059</v>
      </c>
      <c r="E15" s="7">
        <f aca="true" t="shared" si="0" ref="E15:E37">B15/D15*1000000</f>
        <v>58715.86715867159</v>
      </c>
      <c r="F15" s="5">
        <f aca="true" t="shared" si="1" ref="F15:F37">LN(B15/$G$12)/$H$12</f>
        <v>-10.969081576986948</v>
      </c>
      <c r="G15" s="5">
        <f aca="true" t="shared" si="2" ref="G15:G37">F15-A15</f>
        <v>0.13091842301305157</v>
      </c>
      <c r="H15" s="11">
        <f>$G$12*EXP($H$12*A15)</f>
        <v>2.3508699274382456</v>
      </c>
      <c r="I15" s="11">
        <f>B15-H15</f>
        <v>-0.010869927438245774</v>
      </c>
      <c r="J15" s="7">
        <f aca="true" t="shared" si="3" ref="J15:J37">I15/1.1*1023</f>
        <v>-10.109032517568568</v>
      </c>
    </row>
    <row r="16" spans="1:10" ht="12.75">
      <c r="A16" s="2">
        <v>-6.6</v>
      </c>
      <c r="B16" s="2">
        <v>2.06</v>
      </c>
      <c r="C16" s="2">
        <f>$E$12-B16</f>
        <v>2.9899999999999998</v>
      </c>
      <c r="D16" s="5">
        <f>C16/$B$12*1000000</f>
        <v>43.970588235294116</v>
      </c>
      <c r="E16" s="7">
        <f t="shared" si="0"/>
        <v>46849.4983277592</v>
      </c>
      <c r="F16" s="5">
        <f t="shared" si="1"/>
        <v>-7.36894184342423</v>
      </c>
      <c r="G16" s="5">
        <f t="shared" si="2"/>
        <v>-0.7689418434242308</v>
      </c>
      <c r="H16" s="11">
        <f>$G$12*EXP($H$12*A16)</f>
        <v>2.0046819936970293</v>
      </c>
      <c r="I16" s="11">
        <f>B16-H16</f>
        <v>0.05531800630297079</v>
      </c>
      <c r="J16" s="7">
        <f t="shared" si="3"/>
        <v>51.44574586176283</v>
      </c>
    </row>
    <row r="17" spans="1:10" ht="12.75">
      <c r="A17" s="2">
        <v>-4.5</v>
      </c>
      <c r="B17" s="2">
        <v>1.93</v>
      </c>
      <c r="C17" s="2">
        <f>$E$12-B17</f>
        <v>3.12</v>
      </c>
      <c r="D17" s="5">
        <f>C17/$B$12*1000000</f>
        <v>45.88235294117647</v>
      </c>
      <c r="E17" s="7">
        <f t="shared" si="0"/>
        <v>42064.10256410256</v>
      </c>
      <c r="F17" s="5">
        <f t="shared" si="1"/>
        <v>-5.527529982274635</v>
      </c>
      <c r="G17" s="5">
        <f t="shared" si="2"/>
        <v>-1.0275299822746353</v>
      </c>
      <c r="H17" s="11">
        <f>$G$12*EXP($H$12*A17)</f>
        <v>1.8610585552096008</v>
      </c>
      <c r="I17" s="11">
        <f>B17-H17</f>
        <v>0.0689414447903991</v>
      </c>
      <c r="J17" s="7">
        <f t="shared" si="3"/>
        <v>64.11554365507115</v>
      </c>
    </row>
    <row r="18" spans="1:10" ht="12.75">
      <c r="A18" s="2">
        <v>-2</v>
      </c>
      <c r="B18" s="2">
        <v>1.8</v>
      </c>
      <c r="C18" s="2">
        <f>$E$12-B18</f>
        <v>3.25</v>
      </c>
      <c r="D18" s="5">
        <f>C18/$B$12*1000000</f>
        <v>47.794117647058826</v>
      </c>
      <c r="E18" s="7">
        <f t="shared" si="0"/>
        <v>37661.53846153846</v>
      </c>
      <c r="F18" s="5">
        <f t="shared" si="1"/>
        <v>-3.557661676775337</v>
      </c>
      <c r="G18" s="5">
        <f t="shared" si="2"/>
        <v>-1.557661676775337</v>
      </c>
      <c r="H18" s="11">
        <f>$G$12*EXP($H$12*A18)</f>
        <v>1.703432684845189</v>
      </c>
      <c r="I18" s="11">
        <f>B18-H18</f>
        <v>0.09656731515481098</v>
      </c>
      <c r="J18" s="7">
        <f t="shared" si="3"/>
        <v>89.80760309397421</v>
      </c>
    </row>
    <row r="19" spans="1:10" ht="12.75">
      <c r="A19" s="2">
        <v>-0.8</v>
      </c>
      <c r="B19" s="2">
        <v>1.69</v>
      </c>
      <c r="C19" s="2">
        <f>$E$12-B19</f>
        <v>3.36</v>
      </c>
      <c r="D19" s="5">
        <f>C19/$B$12*1000000</f>
        <v>49.41176470588235</v>
      </c>
      <c r="E19" s="7">
        <f t="shared" si="0"/>
        <v>34202.380952380954</v>
      </c>
      <c r="F19" s="5">
        <f t="shared" si="1"/>
        <v>-1.776358400867517</v>
      </c>
      <c r="G19" s="5">
        <f t="shared" si="2"/>
        <v>-0.976358400867517</v>
      </c>
      <c r="H19" s="11">
        <f>$G$12*EXP($H$12*A19)</f>
        <v>1.6325862952117662</v>
      </c>
      <c r="I19" s="11">
        <f>B19-H19</f>
        <v>0.05741370478823371</v>
      </c>
      <c r="J19" s="7">
        <f t="shared" si="3"/>
        <v>53.39474545305735</v>
      </c>
    </row>
    <row r="20" spans="1:10" ht="12.75">
      <c r="A20" s="2">
        <v>4.4</v>
      </c>
      <c r="B20" s="2">
        <v>1.4</v>
      </c>
      <c r="C20" s="2">
        <f>$E$12-B20</f>
        <v>3.65</v>
      </c>
      <c r="D20" s="5">
        <f>C20/$B$12*1000000</f>
        <v>53.6764705882353</v>
      </c>
      <c r="E20" s="7">
        <f t="shared" si="0"/>
        <v>26082.191780821915</v>
      </c>
      <c r="F20" s="5">
        <f t="shared" si="1"/>
        <v>3.5416159582785083</v>
      </c>
      <c r="G20" s="5">
        <f t="shared" si="2"/>
        <v>-0.8583840417214921</v>
      </c>
      <c r="H20" s="11">
        <f>$G$12*EXP($H$12*A20)</f>
        <v>1.3580983396102095</v>
      </c>
      <c r="I20" s="11">
        <f>B20-H20</f>
        <v>0.041901660389790374</v>
      </c>
      <c r="J20" s="7">
        <f t="shared" si="3"/>
        <v>38.96854416250505</v>
      </c>
    </row>
    <row r="21" spans="1:10" ht="12.75">
      <c r="A21" s="2">
        <v>8.8</v>
      </c>
      <c r="B21" s="2">
        <v>1.2</v>
      </c>
      <c r="C21" s="2">
        <f>$E$12-B21</f>
        <v>3.8499999999999996</v>
      </c>
      <c r="D21" s="5">
        <f>C21/$B$12*1000000</f>
        <v>56.61764705882352</v>
      </c>
      <c r="E21" s="7">
        <f t="shared" si="0"/>
        <v>21194.805194805198</v>
      </c>
      <c r="F21" s="5">
        <f t="shared" si="1"/>
        <v>7.896154936449643</v>
      </c>
      <c r="G21" s="5">
        <f t="shared" si="2"/>
        <v>-0.9038450635503574</v>
      </c>
      <c r="H21" s="11">
        <f>$G$12*EXP($H$12*A21)</f>
        <v>1.1622124133913092</v>
      </c>
      <c r="I21" s="11">
        <f>B21-H21</f>
        <v>0.03778758660869075</v>
      </c>
      <c r="J21" s="7">
        <f t="shared" si="3"/>
        <v>35.142455546082395</v>
      </c>
    </row>
    <row r="22" spans="1:10" ht="12.75">
      <c r="A22" s="2">
        <v>16.7</v>
      </c>
      <c r="B22" s="2">
        <v>0.89</v>
      </c>
      <c r="C22" s="2">
        <f>$E$12-B22</f>
        <v>4.16</v>
      </c>
      <c r="D22" s="5">
        <f>C22/$B$12*1000000</f>
        <v>61.176470588235304</v>
      </c>
      <c r="E22" s="7">
        <f t="shared" si="0"/>
        <v>14548.07692307692</v>
      </c>
      <c r="F22" s="5">
        <f t="shared" si="1"/>
        <v>16.338397113000664</v>
      </c>
      <c r="G22" s="5">
        <f t="shared" si="2"/>
        <v>-0.36160288699933574</v>
      </c>
      <c r="H22" s="11">
        <f>$G$12*EXP($H$12*A22)</f>
        <v>0.8786799465590567</v>
      </c>
      <c r="I22" s="11">
        <f>B22-H22</f>
        <v>0.011320053440943334</v>
      </c>
      <c r="J22" s="7">
        <f t="shared" si="3"/>
        <v>10.5276497000773</v>
      </c>
    </row>
    <row r="23" spans="1:10" ht="12.75">
      <c r="A23" s="2">
        <v>17.6</v>
      </c>
      <c r="B23" s="2">
        <v>0.858</v>
      </c>
      <c r="C23" s="2">
        <f>$E$12-B23</f>
        <v>4.192</v>
      </c>
      <c r="D23" s="5">
        <f>C23/$B$12*1000000</f>
        <v>61.647058823529406</v>
      </c>
      <c r="E23" s="7">
        <f t="shared" si="0"/>
        <v>13917.938931297711</v>
      </c>
      <c r="F23" s="5">
        <f t="shared" si="1"/>
        <v>17.372785905040864</v>
      </c>
      <c r="G23" s="5">
        <f t="shared" si="2"/>
        <v>-0.22721409495913747</v>
      </c>
      <c r="H23" s="11">
        <f>$G$12*EXP($H$12*A23)</f>
        <v>0.8511264611473545</v>
      </c>
      <c r="I23" s="11">
        <f>B23-H23</f>
        <v>0.006873538852645522</v>
      </c>
      <c r="J23" s="7">
        <f t="shared" si="3"/>
        <v>6.392391132960335</v>
      </c>
    </row>
    <row r="24" spans="1:10" ht="12.75">
      <c r="A24" s="2">
        <v>24.7</v>
      </c>
      <c r="B24" s="2">
        <v>0.656</v>
      </c>
      <c r="C24" s="2">
        <f>$E$12-B24</f>
        <v>4.394</v>
      </c>
      <c r="D24" s="5">
        <f>C24/$B$12*1000000</f>
        <v>64.61764705882354</v>
      </c>
      <c r="E24" s="7">
        <f t="shared" si="0"/>
        <v>10152.025489303594</v>
      </c>
      <c r="F24" s="5">
        <f t="shared" si="1"/>
        <v>24.955930270687002</v>
      </c>
      <c r="G24" s="5">
        <f t="shared" si="2"/>
        <v>0.2559302706870028</v>
      </c>
      <c r="H24" s="11">
        <f>$G$12*EXP($H$12*A24)</f>
        <v>0.6619703196235542</v>
      </c>
      <c r="I24" s="11">
        <f>B24-H24</f>
        <v>-0.00597031962355421</v>
      </c>
      <c r="J24" s="7">
        <f t="shared" si="3"/>
        <v>-5.552397249905415</v>
      </c>
    </row>
    <row r="25" spans="1:10" ht="12.75">
      <c r="A25" s="2">
        <v>30.5</v>
      </c>
      <c r="B25" s="2">
        <v>0.517</v>
      </c>
      <c r="C25" s="2">
        <f>$E$12-B25</f>
        <v>4.5329999999999995</v>
      </c>
      <c r="D25" s="5">
        <f>C25/$B$12*1000000</f>
        <v>66.66176470588235</v>
      </c>
      <c r="E25" s="7">
        <f t="shared" si="0"/>
        <v>7755.5702625193035</v>
      </c>
      <c r="F25" s="5">
        <f t="shared" si="1"/>
        <v>31.68242502875649</v>
      </c>
      <c r="G25" s="5">
        <f t="shared" si="2"/>
        <v>1.1824250287564908</v>
      </c>
      <c r="H25" s="11">
        <f>$G$12*EXP($H$12*A25)</f>
        <v>0.5390998048829178</v>
      </c>
      <c r="I25" s="11">
        <f>B25-H25</f>
        <v>-0.02209980488291774</v>
      </c>
      <c r="J25" s="7">
        <f t="shared" si="3"/>
        <v>-20.552818541113496</v>
      </c>
    </row>
    <row r="26" spans="1:10" ht="12.75">
      <c r="A26" s="2">
        <v>35.2</v>
      </c>
      <c r="B26" s="2">
        <v>0.445</v>
      </c>
      <c r="C26" s="2">
        <f>$E$12-B26</f>
        <v>4.6049999999999995</v>
      </c>
      <c r="D26" s="5">
        <f>C26/$B$12*1000000</f>
        <v>67.72058823529412</v>
      </c>
      <c r="E26" s="7">
        <f t="shared" si="0"/>
        <v>6571.118349619978</v>
      </c>
      <c r="F26" s="5">
        <f t="shared" si="1"/>
        <v>35.918825942377644</v>
      </c>
      <c r="G26" s="5">
        <f t="shared" si="2"/>
        <v>0.7188259423776415</v>
      </c>
      <c r="H26" s="11">
        <f>$G$12*EXP($H$12*A26)</f>
        <v>0.45646896840908574</v>
      </c>
      <c r="I26" s="11">
        <f>B26-H26</f>
        <v>-0.011468968409085734</v>
      </c>
      <c r="J26" s="7">
        <f t="shared" si="3"/>
        <v>-10.666140620449731</v>
      </c>
    </row>
    <row r="27" spans="1:10" ht="12.75">
      <c r="A27" s="2">
        <v>46.3</v>
      </c>
      <c r="B27" s="2">
        <v>0.292</v>
      </c>
      <c r="C27" s="2">
        <f>$E$12-B27</f>
        <v>4.758</v>
      </c>
      <c r="D27" s="5">
        <f>C27/$B$12*1000000</f>
        <v>69.97058823529412</v>
      </c>
      <c r="E27" s="7">
        <f t="shared" si="0"/>
        <v>4173.182009247583</v>
      </c>
      <c r="F27" s="5">
        <f t="shared" si="1"/>
        <v>47.820534414071396</v>
      </c>
      <c r="G27" s="5">
        <f t="shared" si="2"/>
        <v>1.520534414071399</v>
      </c>
      <c r="H27" s="11">
        <f>$G$12*EXP($H$12*A27)</f>
        <v>0.30814816439232734</v>
      </c>
      <c r="I27" s="11">
        <f>B27-H27</f>
        <v>-0.016148164392327358</v>
      </c>
      <c r="J27" s="7">
        <f t="shared" si="3"/>
        <v>-15.017792884864441</v>
      </c>
    </row>
    <row r="28" spans="1:10" ht="12.75">
      <c r="A28" s="2">
        <v>52.6</v>
      </c>
      <c r="B28" s="2">
        <v>0.233</v>
      </c>
      <c r="C28" s="2">
        <f>$E$12-B28</f>
        <v>4.817</v>
      </c>
      <c r="D28" s="5">
        <f>C28/$B$12*1000000</f>
        <v>70.83823529411765</v>
      </c>
      <c r="E28" s="7">
        <f t="shared" si="0"/>
        <v>3289.1841395059164</v>
      </c>
      <c r="F28" s="5">
        <f t="shared" si="1"/>
        <v>54.19667420792961</v>
      </c>
      <c r="G28" s="5">
        <f t="shared" si="2"/>
        <v>1.5966742079296097</v>
      </c>
      <c r="H28" s="11">
        <f>$G$12*EXP($H$12*A28)</f>
        <v>0.2465489910840286</v>
      </c>
      <c r="I28" s="11">
        <f>B28-H28</f>
        <v>-0.0135489910840286</v>
      </c>
      <c r="J28" s="7">
        <f t="shared" si="3"/>
        <v>-12.600561708146596</v>
      </c>
    </row>
    <row r="29" spans="1:10" ht="12.75">
      <c r="A29" s="2">
        <v>58</v>
      </c>
      <c r="B29" s="2">
        <v>0.192</v>
      </c>
      <c r="C29" s="2">
        <f>$E$12-B29</f>
        <v>4.858</v>
      </c>
      <c r="D29" s="5">
        <f>C29/$B$12*1000000</f>
        <v>71.44117647058823</v>
      </c>
      <c r="E29" s="7">
        <f t="shared" si="0"/>
        <v>2687.5257307533966</v>
      </c>
      <c r="F29" s="5">
        <f t="shared" si="1"/>
        <v>59.66399289544145</v>
      </c>
      <c r="G29" s="5">
        <f t="shared" si="2"/>
        <v>1.663992895441453</v>
      </c>
      <c r="H29" s="11">
        <f>$G$12*EXP($H$12*A29)</f>
        <v>0.20364956957232913</v>
      </c>
      <c r="I29" s="11">
        <f>B29-H29</f>
        <v>-0.011649569572329127</v>
      </c>
      <c r="J29" s="7">
        <f t="shared" si="3"/>
        <v>-10.834099702266087</v>
      </c>
    </row>
    <row r="30" spans="1:10" ht="12.75">
      <c r="A30" s="2">
        <v>63.3</v>
      </c>
      <c r="B30" s="2">
        <v>0.161</v>
      </c>
      <c r="C30" s="2">
        <f>$E$12-B30</f>
        <v>4.889</v>
      </c>
      <c r="D30" s="5">
        <f>C30/$B$12*1000000</f>
        <v>71.89705882352942</v>
      </c>
      <c r="E30" s="7">
        <f t="shared" si="0"/>
        <v>2239.3127428922066</v>
      </c>
      <c r="F30" s="5">
        <f t="shared" si="1"/>
        <v>64.63831512830356</v>
      </c>
      <c r="G30" s="5">
        <f t="shared" si="2"/>
        <v>1.338315128303563</v>
      </c>
      <c r="H30" s="11">
        <f>$G$12*EXP($H$12*A30)</f>
        <v>0.16881116452513412</v>
      </c>
      <c r="I30" s="11">
        <f>B30-H30</f>
        <v>-0.007811164525134112</v>
      </c>
      <c r="J30" s="7">
        <f t="shared" si="3"/>
        <v>-7.264383008374724</v>
      </c>
    </row>
    <row r="31" spans="1:10" ht="12.75">
      <c r="A31" s="2">
        <v>70</v>
      </c>
      <c r="B31" s="2">
        <v>0.132</v>
      </c>
      <c r="C31" s="2">
        <f>$E$12-B31</f>
        <v>4.918</v>
      </c>
      <c r="D31" s="5">
        <f>C31/$B$12*1000000</f>
        <v>72.32352941176471</v>
      </c>
      <c r="E31" s="7">
        <f t="shared" si="0"/>
        <v>1825.1321675477836</v>
      </c>
      <c r="F31" s="5">
        <f t="shared" si="1"/>
        <v>70.24855361412537</v>
      </c>
      <c r="G31" s="5">
        <f t="shared" si="2"/>
        <v>0.24855361412537036</v>
      </c>
      <c r="H31" s="11">
        <f>$G$12*EXP($H$12*A31)</f>
        <v>0.1331665659911319</v>
      </c>
      <c r="I31" s="11">
        <f>B31-H31</f>
        <v>-0.001166565991131907</v>
      </c>
      <c r="J31" s="7">
        <f t="shared" si="3"/>
        <v>-1.0849063717526737</v>
      </c>
    </row>
    <row r="32" spans="1:10" ht="12.75">
      <c r="A32" s="2">
        <v>75</v>
      </c>
      <c r="B32" s="2">
        <v>0.11</v>
      </c>
      <c r="C32" s="2">
        <f>$E$12-B32</f>
        <v>4.9399999999999995</v>
      </c>
      <c r="D32" s="5">
        <f>C32/$B$12*1000000</f>
        <v>72.6470588235294</v>
      </c>
      <c r="E32" s="7">
        <f t="shared" si="0"/>
        <v>1514.1700404858302</v>
      </c>
      <c r="F32" s="5">
        <f t="shared" si="1"/>
        <v>75.39888007723144</v>
      </c>
      <c r="G32" s="5">
        <f t="shared" si="2"/>
        <v>0.39888007723143915</v>
      </c>
      <c r="H32" s="11">
        <f>$G$12*EXP($H$12*A32)</f>
        <v>0.11156425696171754</v>
      </c>
      <c r="I32" s="11">
        <f>B32-H32</f>
        <v>-0.001564256961717539</v>
      </c>
      <c r="J32" s="7">
        <f t="shared" si="3"/>
        <v>-1.454758974397311</v>
      </c>
    </row>
    <row r="33" spans="1:10" ht="12.75">
      <c r="A33" s="2">
        <v>80</v>
      </c>
      <c r="B33" s="2">
        <v>0.093</v>
      </c>
      <c r="C33" s="2">
        <f>$E$12-B33</f>
        <v>4.957</v>
      </c>
      <c r="D33" s="5">
        <f>C33/$B$12*1000000</f>
        <v>72.8970588235294</v>
      </c>
      <c r="E33" s="7">
        <f t="shared" si="0"/>
        <v>1275.7716360702038</v>
      </c>
      <c r="F33" s="5">
        <f t="shared" si="1"/>
        <v>80.1412776094111</v>
      </c>
      <c r="G33" s="5">
        <f t="shared" si="2"/>
        <v>0.14127760941110523</v>
      </c>
      <c r="H33" s="11">
        <f>$G$12*EXP($H$12*A33)</f>
        <v>0.09346627915785567</v>
      </c>
      <c r="I33" s="11">
        <f>B33-H33</f>
        <v>-0.000466279157855673</v>
      </c>
      <c r="J33" s="7">
        <f t="shared" si="3"/>
        <v>-0.43363961680577584</v>
      </c>
    </row>
    <row r="34" spans="1:10" ht="12.75">
      <c r="A34" s="2">
        <v>85</v>
      </c>
      <c r="B34" s="2">
        <v>0.08</v>
      </c>
      <c r="C34" s="2">
        <f>$E$12-B34</f>
        <v>4.97</v>
      </c>
      <c r="D34" s="5">
        <f>C34/$B$12*1000000</f>
        <v>73.08823529411765</v>
      </c>
      <c r="E34" s="7">
        <f t="shared" si="0"/>
        <v>1094.5674044265593</v>
      </c>
      <c r="F34" s="5">
        <f t="shared" si="1"/>
        <v>84.39474818792449</v>
      </c>
      <c r="G34" s="5">
        <f t="shared" si="2"/>
        <v>-0.6052518120755082</v>
      </c>
      <c r="H34" s="11">
        <f>$G$12*EXP($H$12*A34)</f>
        <v>0.07830415921303431</v>
      </c>
      <c r="I34" s="11">
        <f>B34-H34</f>
        <v>0.001695840786965691</v>
      </c>
      <c r="J34" s="7">
        <f t="shared" si="3"/>
        <v>1.5771319318780925</v>
      </c>
    </row>
    <row r="35" spans="1:10" ht="12.75">
      <c r="A35" s="2">
        <v>90</v>
      </c>
      <c r="B35" s="2">
        <v>0.069</v>
      </c>
      <c r="C35" s="2">
        <f>$E$12-B35</f>
        <v>4.981</v>
      </c>
      <c r="D35" s="5">
        <f>C35/$B$12*1000000</f>
        <v>73.24999999999999</v>
      </c>
      <c r="E35" s="7">
        <f t="shared" si="0"/>
        <v>941.9795221843005</v>
      </c>
      <c r="F35" s="5">
        <f t="shared" si="1"/>
        <v>88.57328293585168</v>
      </c>
      <c r="G35" s="5">
        <f t="shared" si="2"/>
        <v>-1.4267170641483204</v>
      </c>
      <c r="H35" s="11">
        <f>$G$12*EXP($H$12*A35)</f>
        <v>0.06560164163275009</v>
      </c>
      <c r="I35" s="11">
        <f>B35-H35</f>
        <v>0.003398358367249915</v>
      </c>
      <c r="J35" s="7">
        <f t="shared" si="3"/>
        <v>3.160473281542421</v>
      </c>
    </row>
    <row r="36" spans="1:10" ht="12.75">
      <c r="A36" s="2">
        <v>95</v>
      </c>
      <c r="B36" s="2">
        <v>0.058</v>
      </c>
      <c r="C36" s="2">
        <f>$E$12-B36</f>
        <v>4.992</v>
      </c>
      <c r="D36" s="5">
        <f>C36/$B$12*1000000</f>
        <v>73.41176470588235</v>
      </c>
      <c r="E36" s="7">
        <f t="shared" si="0"/>
        <v>790.0641025641027</v>
      </c>
      <c r="F36" s="5">
        <f t="shared" si="1"/>
        <v>93.47903135536694</v>
      </c>
      <c r="G36" s="5">
        <f t="shared" si="2"/>
        <v>-1.520968644633058</v>
      </c>
      <c r="H36" s="11">
        <f>$G$12*EXP($H$12*A36)</f>
        <v>0.054959729191440036</v>
      </c>
      <c r="I36" s="11">
        <f>B36-H36</f>
        <v>0.0030402708085599667</v>
      </c>
      <c r="J36" s="7">
        <f t="shared" si="3"/>
        <v>2.827451851960769</v>
      </c>
    </row>
    <row r="37" spans="1:10" ht="12.75">
      <c r="A37" s="2">
        <v>98</v>
      </c>
      <c r="B37" s="2">
        <v>0.053</v>
      </c>
      <c r="C37" s="2">
        <f>$E$12-B37</f>
        <v>4.997</v>
      </c>
      <c r="D37" s="5">
        <f>C37/$B$12*1000000</f>
        <v>73.48529411764706</v>
      </c>
      <c r="E37" s="7">
        <f t="shared" si="0"/>
        <v>721.2327396437862</v>
      </c>
      <c r="F37" s="5">
        <f t="shared" si="1"/>
        <v>96.02567251339795</v>
      </c>
      <c r="G37" s="5">
        <f t="shared" si="2"/>
        <v>-1.97432748660205</v>
      </c>
      <c r="H37" s="11">
        <f>$G$12*EXP($H$12*A37)</f>
        <v>0.049422249647918554</v>
      </c>
      <c r="I37" s="11">
        <f>B37-H37</f>
        <v>0.003577750352081445</v>
      </c>
      <c r="J37" s="7">
        <f t="shared" si="3"/>
        <v>3.3273078274357433</v>
      </c>
    </row>
    <row r="38" spans="1:5" ht="12.75">
      <c r="A38" s="2"/>
      <c r="B38" s="2"/>
      <c r="C38" s="2"/>
      <c r="D38" s="2"/>
      <c r="E38" s="2"/>
    </row>
    <row r="39" spans="1:15" ht="12.75">
      <c r="A39" s="2"/>
      <c r="B39" s="2"/>
      <c r="C39" s="2"/>
      <c r="D39" s="2"/>
      <c r="E39" s="2"/>
      <c r="H39" s="1" t="s">
        <v>39</v>
      </c>
      <c r="I39" s="2">
        <v>6800</v>
      </c>
      <c r="J39" s="1" t="s">
        <v>19</v>
      </c>
      <c r="K39" s="2">
        <v>8200</v>
      </c>
      <c r="L39" t="s">
        <v>20</v>
      </c>
      <c r="O39" s="2" t="s">
        <v>37</v>
      </c>
    </row>
    <row r="40" spans="1:16" ht="12.75">
      <c r="A40" s="2"/>
      <c r="B40" s="2"/>
      <c r="C40" s="2"/>
      <c r="D40" s="2"/>
      <c r="E40" s="2"/>
      <c r="I40" s="2">
        <v>5600</v>
      </c>
      <c r="J40" s="1" t="s">
        <v>4</v>
      </c>
      <c r="K40" s="2">
        <v>5.05</v>
      </c>
      <c r="L40" t="s">
        <v>5</v>
      </c>
      <c r="N40" s="1" t="s">
        <v>38</v>
      </c>
      <c r="O40" s="5">
        <f>K43/1.1</f>
        <v>4.113526269312619</v>
      </c>
      <c r="P40" s="10">
        <f>1/O40</f>
        <v>0.2431004288121643</v>
      </c>
    </row>
    <row r="41" spans="3:5" ht="12.75">
      <c r="C41" s="2"/>
      <c r="D41" s="2"/>
      <c r="E41" s="2"/>
    </row>
    <row r="42" spans="3:19" ht="12.75">
      <c r="C42" s="2"/>
      <c r="D42" s="2">
        <v>30.5</v>
      </c>
      <c r="E42" s="7">
        <v>7755.5702625193035</v>
      </c>
      <c r="F42" t="s">
        <v>27</v>
      </c>
      <c r="G42" s="9">
        <f>SLOPE(E42:E44,D42:D44)</f>
        <v>-255.33468431626613</v>
      </c>
      <c r="I42" t="s">
        <v>26</v>
      </c>
      <c r="J42" t="s">
        <v>18</v>
      </c>
      <c r="K42" t="s">
        <v>15</v>
      </c>
      <c r="L42" t="s">
        <v>41</v>
      </c>
      <c r="M42" t="s">
        <v>31</v>
      </c>
      <c r="N42" t="s">
        <v>32</v>
      </c>
      <c r="O42" s="2" t="s">
        <v>33</v>
      </c>
      <c r="P42" s="2" t="s">
        <v>34</v>
      </c>
      <c r="Q42" s="2" t="s">
        <v>35</v>
      </c>
      <c r="R42" s="2" t="s">
        <v>36</v>
      </c>
      <c r="S42" s="2" t="s">
        <v>40</v>
      </c>
    </row>
    <row r="43" spans="3:19" ht="12.75">
      <c r="C43" s="2"/>
      <c r="D43" s="2">
        <v>35.2</v>
      </c>
      <c r="E43" s="7">
        <v>6571.118349619978</v>
      </c>
      <c r="F43" t="s">
        <v>28</v>
      </c>
      <c r="G43" s="9">
        <f>INTERCEPT(E42:E44,D42:D44)</f>
        <v>15548.521581456203</v>
      </c>
      <c r="I43" s="2">
        <v>-16</v>
      </c>
      <c r="J43" s="2">
        <v>70658</v>
      </c>
      <c r="K43" s="4">
        <f>J43/(J43+$K$39)*$K$40</f>
        <v>4.524878896243881</v>
      </c>
      <c r="M43" s="7">
        <f>K43/1.1*1023</f>
        <v>4208.137373506809</v>
      </c>
      <c r="O43" s="11">
        <f>$K$40/($K$39+J43)*1000</f>
        <v>0.06403915899464861</v>
      </c>
      <c r="P43" s="11">
        <f>K43/$K$43*1.1</f>
        <v>1.1</v>
      </c>
      <c r="Q43" s="7">
        <f>P43/1.1*1023</f>
        <v>1023</v>
      </c>
      <c r="R43" s="2"/>
      <c r="S43" s="11">
        <f>K43*O43</f>
        <v>0.289769439068092</v>
      </c>
    </row>
    <row r="44" spans="3:19" ht="12.75">
      <c r="C44" s="2"/>
      <c r="D44" s="2">
        <v>40</v>
      </c>
      <c r="E44" s="7">
        <v>5330</v>
      </c>
      <c r="F44" t="s">
        <v>29</v>
      </c>
      <c r="G44" t="s">
        <v>30</v>
      </c>
      <c r="I44" s="2">
        <f>I43+8</f>
        <v>-8</v>
      </c>
      <c r="J44" s="2">
        <v>50536</v>
      </c>
      <c r="K44" s="4">
        <f aca="true" t="shared" si="4" ref="K44:K58">J44/(J44+$K$39)*$K$40</f>
        <v>4.344980931626259</v>
      </c>
      <c r="L44" s="8">
        <f>K43-K44</f>
        <v>0.17989796461762175</v>
      </c>
      <c r="M44" s="7">
        <f>K44/1.1*1023</f>
        <v>4040.8322664124207</v>
      </c>
      <c r="N44" s="7">
        <f>M43-M44</f>
        <v>167.3051070943884</v>
      </c>
      <c r="O44" s="11">
        <f>$K$40/($K$39+J44)*1000</f>
        <v>0.08597793516752927</v>
      </c>
      <c r="P44" s="11">
        <f>K44/$K$43*1.1</f>
        <v>1.0562667276590207</v>
      </c>
      <c r="Q44" s="7">
        <f aca="true" t="shared" si="5" ref="Q44:Q58">P44/1.1*1023</f>
        <v>982.3280567228892</v>
      </c>
      <c r="R44" s="7">
        <f>Q43-Q44</f>
        <v>40.67194327711081</v>
      </c>
      <c r="S44" s="11">
        <f>K44*O44</f>
        <v>0.37357248884351346</v>
      </c>
    </row>
    <row r="45" spans="3:19" ht="13.5" thickBot="1">
      <c r="C45" s="2"/>
      <c r="D45" s="14">
        <f>F45</f>
        <v>40</v>
      </c>
      <c r="E45" s="15">
        <f>G45</f>
        <v>5335.134208805557</v>
      </c>
      <c r="F45" s="12">
        <v>40</v>
      </c>
      <c r="G45" s="13">
        <f>G42*F45+G43</f>
        <v>5335.134208805557</v>
      </c>
      <c r="I45" s="2">
        <f>I44+8</f>
        <v>0</v>
      </c>
      <c r="J45" s="2">
        <v>33574</v>
      </c>
      <c r="K45" s="4">
        <f t="shared" si="4"/>
        <v>4.058713553885192</v>
      </c>
      <c r="L45" s="8">
        <f aca="true" t="shared" si="6" ref="L45:L58">K44-K45</f>
        <v>0.28626737774106736</v>
      </c>
      <c r="M45" s="7">
        <f>K45/1.1*1023</f>
        <v>3774.6036051132282</v>
      </c>
      <c r="N45" s="7">
        <f aca="true" t="shared" si="7" ref="N45:N58">M44-M45</f>
        <v>266.2286612991925</v>
      </c>
      <c r="O45" s="11">
        <f>$K$40/($K$39+J45)*1000</f>
        <v>0.12088859098961076</v>
      </c>
      <c r="P45" s="11">
        <f>K45/$K$43*1.1</f>
        <v>0.9866750053752334</v>
      </c>
      <c r="Q45" s="7">
        <f t="shared" si="5"/>
        <v>917.607754998967</v>
      </c>
      <c r="R45" s="7">
        <f aca="true" t="shared" si="8" ref="R45:R58">Q44-Q45</f>
        <v>64.72030172392215</v>
      </c>
      <c r="S45" s="11">
        <f>K45*O45</f>
        <v>0.4906521627596165</v>
      </c>
    </row>
    <row r="46" spans="3:19" ht="12.75">
      <c r="C46" s="2"/>
      <c r="D46" s="5"/>
      <c r="E46" s="7"/>
      <c r="I46" s="2">
        <f>I45+8</f>
        <v>8</v>
      </c>
      <c r="J46" s="2">
        <v>22430</v>
      </c>
      <c r="K46" s="4">
        <f t="shared" si="4"/>
        <v>3.6980574600065297</v>
      </c>
      <c r="L46" s="8">
        <f t="shared" si="6"/>
        <v>0.36065609387866226</v>
      </c>
      <c r="M46" s="7">
        <f>K46/1.1*1023</f>
        <v>3439.1934378060723</v>
      </c>
      <c r="N46" s="7">
        <f t="shared" si="7"/>
        <v>335.4101673071559</v>
      </c>
      <c r="O46" s="11">
        <f>$K$40/($K$39+J46)*1000</f>
        <v>0.16487104146261833</v>
      </c>
      <c r="P46" s="11">
        <f>K46/$K$43*1.1</f>
        <v>0.8989993542996104</v>
      </c>
      <c r="Q46" s="7">
        <f t="shared" si="5"/>
        <v>836.0693994986376</v>
      </c>
      <c r="R46" s="7">
        <f t="shared" si="8"/>
        <v>81.53835550032943</v>
      </c>
      <c r="S46" s="11">
        <f>K46*O46</f>
        <v>0.6097025848198816</v>
      </c>
    </row>
    <row r="47" spans="3:19" ht="12.75">
      <c r="C47" s="2"/>
      <c r="D47" s="5"/>
      <c r="E47" s="7"/>
      <c r="I47" s="2">
        <f>I46+8</f>
        <v>16</v>
      </c>
      <c r="J47" s="2">
        <v>15193</v>
      </c>
      <c r="K47" s="4">
        <f t="shared" si="4"/>
        <v>3.279812337023896</v>
      </c>
      <c r="L47" s="8">
        <f t="shared" si="6"/>
        <v>0.4182451229826336</v>
      </c>
      <c r="M47" s="7">
        <f>K47/1.1*1023</f>
        <v>3050.225473432223</v>
      </c>
      <c r="N47" s="7">
        <f t="shared" si="7"/>
        <v>388.9679643738491</v>
      </c>
      <c r="O47" s="11">
        <f>$K$40/($K$39+J47)*1000</f>
        <v>0.21587654426537853</v>
      </c>
      <c r="P47" s="11">
        <f>K47/$K$43*1.1</f>
        <v>0.7973237855539358</v>
      </c>
      <c r="Q47" s="7">
        <f t="shared" si="5"/>
        <v>741.5111205651602</v>
      </c>
      <c r="R47" s="7">
        <f t="shared" si="8"/>
        <v>94.55827893347737</v>
      </c>
      <c r="S47" s="11">
        <f>K47*O47</f>
        <v>0.7080345531556737</v>
      </c>
    </row>
    <row r="48" spans="1:19" ht="12.75">
      <c r="A48" s="2" t="s">
        <v>14</v>
      </c>
      <c r="B48" s="2" t="s">
        <v>18</v>
      </c>
      <c r="C48" s="2" t="s">
        <v>15</v>
      </c>
      <c r="D48" s="2" t="s">
        <v>43</v>
      </c>
      <c r="E48" s="7" t="s">
        <v>42</v>
      </c>
      <c r="F48" s="2" t="s">
        <v>44</v>
      </c>
      <c r="I48" s="2">
        <f>I47+8</f>
        <v>24</v>
      </c>
      <c r="J48" s="2">
        <v>10523</v>
      </c>
      <c r="K48" s="4">
        <f t="shared" si="4"/>
        <v>2.838281792447791</v>
      </c>
      <c r="L48" s="8">
        <f t="shared" si="6"/>
        <v>0.44153054457610486</v>
      </c>
      <c r="M48" s="7">
        <f>K48/1.1*1023</f>
        <v>2639.6020669764457</v>
      </c>
      <c r="N48" s="7">
        <f t="shared" si="7"/>
        <v>410.6234064557775</v>
      </c>
      <c r="O48" s="11">
        <f>$K$40/($K$39+J48)*1000</f>
        <v>0.2697217326283181</v>
      </c>
      <c r="P48" s="11">
        <f>K48/$K$43*1.1</f>
        <v>0.6899875208338163</v>
      </c>
      <c r="Q48" s="7">
        <f t="shared" si="5"/>
        <v>641.6883943754491</v>
      </c>
      <c r="R48" s="7">
        <f t="shared" si="8"/>
        <v>99.82272618971115</v>
      </c>
      <c r="S48" s="11">
        <f>K48*O48</f>
        <v>0.7655462827464267</v>
      </c>
    </row>
    <row r="49" spans="1:19" ht="12.75">
      <c r="A49" s="2">
        <v>-14.5</v>
      </c>
      <c r="B49" s="7">
        <v>66666.66666666667</v>
      </c>
      <c r="C49" s="4">
        <f>B49/(B49+$K$39)*$K$40</f>
        <v>4.496883348174532</v>
      </c>
      <c r="D49" s="5">
        <f>A50-A49</f>
        <v>3.4000000000000004</v>
      </c>
      <c r="E49" s="11">
        <f>C50-C49</f>
        <v>-0.06572013171061286</v>
      </c>
      <c r="F49" s="11">
        <f>E49/D49</f>
        <v>-0.019329450503121428</v>
      </c>
      <c r="I49" s="2">
        <f>I48+8</f>
        <v>32</v>
      </c>
      <c r="J49" s="2">
        <v>7381</v>
      </c>
      <c r="K49" s="4">
        <f t="shared" si="4"/>
        <v>2.392275848790193</v>
      </c>
      <c r="L49" s="8">
        <f t="shared" si="6"/>
        <v>0.44600594365759827</v>
      </c>
      <c r="M49" s="7">
        <f>K49/1.1*1023</f>
        <v>2224.816539374879</v>
      </c>
      <c r="N49" s="7">
        <f t="shared" si="7"/>
        <v>414.7855276015666</v>
      </c>
      <c r="O49" s="11">
        <f>$K$40/($K$39+J49)*1000</f>
        <v>0.3241127013670496</v>
      </c>
      <c r="P49" s="11">
        <f>K49/$K$43*1.1</f>
        <v>0.5815632846778801</v>
      </c>
      <c r="Q49" s="7">
        <f t="shared" si="5"/>
        <v>540.8538547504285</v>
      </c>
      <c r="R49" s="7">
        <f t="shared" si="8"/>
        <v>100.83453962502062</v>
      </c>
      <c r="S49" s="11">
        <f>K49*O49</f>
        <v>0.775366987766541</v>
      </c>
    </row>
    <row r="50" spans="1:19" ht="12.75">
      <c r="A50" s="2">
        <v>-11.1</v>
      </c>
      <c r="B50" s="7">
        <v>58715.86715867159</v>
      </c>
      <c r="C50" s="4">
        <f aca="true" t="shared" si="9" ref="C50:C72">B50/(B50+$K$39)*$K$40</f>
        <v>4.431163216463919</v>
      </c>
      <c r="D50" s="5">
        <f aca="true" t="shared" si="10" ref="D50:D72">A51-A50</f>
        <v>4.5</v>
      </c>
      <c r="E50" s="11">
        <f aca="true" t="shared" si="11" ref="E50:E72">C51-C50</f>
        <v>-0.13339532134976295</v>
      </c>
      <c r="F50" s="11">
        <f aca="true" t="shared" si="12" ref="F50:F71">E50/D50</f>
        <v>-0.02964340474439177</v>
      </c>
      <c r="I50" s="2">
        <f>I49+8</f>
        <v>40</v>
      </c>
      <c r="J50" s="2">
        <v>5325</v>
      </c>
      <c r="K50" s="4">
        <f t="shared" si="4"/>
        <v>1.9882624768946395</v>
      </c>
      <c r="L50" s="8">
        <f t="shared" si="6"/>
        <v>0.4040133718955534</v>
      </c>
      <c r="M50" s="7">
        <f>K50/1.1*1023</f>
        <v>1849.0841035120147</v>
      </c>
      <c r="N50" s="7">
        <f t="shared" si="7"/>
        <v>375.73243586286435</v>
      </c>
      <c r="O50" s="11">
        <f>$K$40/($K$39+J50)*1000</f>
        <v>0.3733826247689464</v>
      </c>
      <c r="P50" s="11">
        <f>K50/$K$43*1.1</f>
        <v>0.48334746072422274</v>
      </c>
      <c r="Q50" s="7">
        <f t="shared" si="5"/>
        <v>449.51313847352714</v>
      </c>
      <c r="R50" s="7">
        <f t="shared" si="8"/>
        <v>91.34071627690133</v>
      </c>
      <c r="S50" s="11">
        <f>K50*O50</f>
        <v>0.7423826623525271</v>
      </c>
    </row>
    <row r="51" spans="1:19" ht="12.75">
      <c r="A51" s="2">
        <v>-6.6</v>
      </c>
      <c r="B51" s="7">
        <v>46849.4983277592</v>
      </c>
      <c r="C51" s="4">
        <f t="shared" si="9"/>
        <v>4.2977678951141565</v>
      </c>
      <c r="D51" s="5">
        <f t="shared" si="10"/>
        <v>2.0999999999999996</v>
      </c>
      <c r="E51" s="11">
        <f t="shared" si="11"/>
        <v>-0.07161628566662248</v>
      </c>
      <c r="F51" s="11">
        <f t="shared" si="12"/>
        <v>-0.03410299317458214</v>
      </c>
      <c r="I51" s="2">
        <f>I50+8</f>
        <v>48</v>
      </c>
      <c r="J51" s="2">
        <v>3931</v>
      </c>
      <c r="K51" s="4">
        <f t="shared" si="4"/>
        <v>1.6364314565987963</v>
      </c>
      <c r="L51" s="8">
        <f t="shared" si="6"/>
        <v>0.35183102029584323</v>
      </c>
      <c r="M51" s="7">
        <f>K51/1.1*1023</f>
        <v>1521.8812546368804</v>
      </c>
      <c r="N51" s="7">
        <f t="shared" si="7"/>
        <v>327.20284887513435</v>
      </c>
      <c r="O51" s="11">
        <f>$K$40/($K$39+J51)*1000</f>
        <v>0.41628884675624434</v>
      </c>
      <c r="P51" s="11">
        <f>K51/$K$43*1.1</f>
        <v>0.39781718882088196</v>
      </c>
      <c r="Q51" s="7">
        <f t="shared" si="5"/>
        <v>369.9699856034202</v>
      </c>
      <c r="R51" s="7">
        <f t="shared" si="8"/>
        <v>79.54315287010695</v>
      </c>
      <c r="S51" s="11">
        <f>K51*O51</f>
        <v>0.681228163863154</v>
      </c>
    </row>
    <row r="52" spans="1:19" ht="12.75">
      <c r="A52" s="2">
        <v>-4.5</v>
      </c>
      <c r="B52" s="7">
        <v>42064.10256410256</v>
      </c>
      <c r="C52" s="4">
        <f t="shared" si="9"/>
        <v>4.226151609447534</v>
      </c>
      <c r="D52" s="5">
        <f t="shared" si="10"/>
        <v>2.5</v>
      </c>
      <c r="E52" s="11">
        <f t="shared" si="11"/>
        <v>-0.10320071426575605</v>
      </c>
      <c r="F52" s="11">
        <f t="shared" si="12"/>
        <v>-0.04128028570630242</v>
      </c>
      <c r="I52" s="2">
        <f>I51+8</f>
        <v>56</v>
      </c>
      <c r="J52" s="2">
        <v>2930</v>
      </c>
      <c r="K52" s="4">
        <f t="shared" si="4"/>
        <v>1.329424977538185</v>
      </c>
      <c r="L52" s="8">
        <f t="shared" si="6"/>
        <v>0.3070064790606113</v>
      </c>
      <c r="M52" s="7">
        <f>K52/1.1*1023</f>
        <v>1236.365229110512</v>
      </c>
      <c r="N52" s="7">
        <f t="shared" si="7"/>
        <v>285.51602552636837</v>
      </c>
      <c r="O52" s="11">
        <f>$K$40/($K$39+J52)*1000</f>
        <v>0.45372866127583106</v>
      </c>
      <c r="P52" s="11">
        <f>K52/$K$43*1.1</f>
        <v>0.32318378211313464</v>
      </c>
      <c r="Q52" s="7">
        <f t="shared" si="5"/>
        <v>300.5609173652152</v>
      </c>
      <c r="R52" s="7">
        <f t="shared" si="8"/>
        <v>69.40906823820501</v>
      </c>
      <c r="S52" s="11">
        <f>K52*O52</f>
        <v>0.6031982153250525</v>
      </c>
    </row>
    <row r="53" spans="1:19" ht="12.75">
      <c r="A53" s="2">
        <v>-2</v>
      </c>
      <c r="B53" s="7">
        <v>36468.61548625278</v>
      </c>
      <c r="C53" s="4">
        <f t="shared" si="9"/>
        <v>4.122950895181778</v>
      </c>
      <c r="D53" s="5">
        <f t="shared" si="10"/>
        <v>1.2</v>
      </c>
      <c r="E53" s="11">
        <f t="shared" si="11"/>
        <v>-0.04954699827571929</v>
      </c>
      <c r="F53" s="11">
        <f t="shared" si="12"/>
        <v>-0.04128916522976608</v>
      </c>
      <c r="I53" s="2">
        <f>I52+8</f>
        <v>64</v>
      </c>
      <c r="J53" s="2">
        <v>2210</v>
      </c>
      <c r="K53" s="4">
        <f t="shared" si="4"/>
        <v>1.0720941402497597</v>
      </c>
      <c r="L53" s="8">
        <f t="shared" si="6"/>
        <v>0.2573308372884253</v>
      </c>
      <c r="M53" s="7">
        <f>K53/1.1*1023</f>
        <v>997.0475504322764</v>
      </c>
      <c r="N53" s="7">
        <f t="shared" si="7"/>
        <v>239.31767867823567</v>
      </c>
      <c r="O53" s="11">
        <f>$K$40/($K$39+J53)*1000</f>
        <v>0.4851104707012488</v>
      </c>
      <c r="P53" s="11">
        <f>K53/$K$43*1.1</f>
        <v>0.2606265452217252</v>
      </c>
      <c r="Q53" s="7">
        <f t="shared" si="5"/>
        <v>242.3826870562044</v>
      </c>
      <c r="R53" s="7">
        <f t="shared" si="8"/>
        <v>58.178230309010786</v>
      </c>
      <c r="S53" s="11">
        <f>K53*O53</f>
        <v>0.5200840930126116</v>
      </c>
    </row>
    <row r="54" spans="1:19" ht="12.75">
      <c r="A54" s="2">
        <v>-0.8</v>
      </c>
      <c r="B54" s="7">
        <v>34202.380952380954</v>
      </c>
      <c r="C54" s="4">
        <f t="shared" si="9"/>
        <v>4.073403896906059</v>
      </c>
      <c r="D54" s="5">
        <f t="shared" si="10"/>
        <v>5.2</v>
      </c>
      <c r="E54" s="11">
        <f t="shared" si="11"/>
        <v>-0.23131966450775288</v>
      </c>
      <c r="F54" s="11">
        <f t="shared" si="12"/>
        <v>-0.04448455086687555</v>
      </c>
      <c r="I54" s="2">
        <f>I53+8</f>
        <v>72</v>
      </c>
      <c r="J54" s="2">
        <v>1700</v>
      </c>
      <c r="K54" s="4">
        <f t="shared" si="4"/>
        <v>0.8671717171717171</v>
      </c>
      <c r="L54" s="8">
        <f t="shared" si="6"/>
        <v>0.20492242307804254</v>
      </c>
      <c r="M54" s="7">
        <f>K54/1.1*1023</f>
        <v>806.4696969696969</v>
      </c>
      <c r="N54" s="7">
        <f t="shared" si="7"/>
        <v>190.57785346257947</v>
      </c>
      <c r="O54" s="11">
        <f>$K$40/($K$39+J54)*1000</f>
        <v>0.51010101010101</v>
      </c>
      <c r="P54" s="11">
        <f>K54/$K$43*1.1</f>
        <v>0.21080981629822526</v>
      </c>
      <c r="Q54" s="7">
        <f t="shared" si="5"/>
        <v>196.05312915734947</v>
      </c>
      <c r="R54" s="7">
        <f t="shared" si="8"/>
        <v>46.329557898854915</v>
      </c>
      <c r="S54" s="11">
        <f>K54*O54</f>
        <v>0.4423451688603203</v>
      </c>
    </row>
    <row r="55" spans="1:19" ht="12.75">
      <c r="A55" s="2">
        <v>4.4</v>
      </c>
      <c r="B55" s="7">
        <v>26082.191780821915</v>
      </c>
      <c r="C55" s="4">
        <f t="shared" si="9"/>
        <v>3.8420842323983058</v>
      </c>
      <c r="D55" s="5">
        <f t="shared" si="10"/>
        <v>4.4</v>
      </c>
      <c r="E55" s="11">
        <f t="shared" si="11"/>
        <v>-0.20083655191761318</v>
      </c>
      <c r="F55" s="11">
        <f t="shared" si="12"/>
        <v>-0.045644670890366626</v>
      </c>
      <c r="I55" s="2">
        <f>I54+8</f>
        <v>80</v>
      </c>
      <c r="J55" s="2">
        <v>1305</v>
      </c>
      <c r="K55" s="4">
        <f t="shared" si="4"/>
        <v>0.6933456075749606</v>
      </c>
      <c r="L55" s="8">
        <f t="shared" si="6"/>
        <v>0.1738261095967566</v>
      </c>
      <c r="M55" s="7">
        <f>K55/1.1*1023</f>
        <v>644.8114150447133</v>
      </c>
      <c r="N55" s="7">
        <f t="shared" si="7"/>
        <v>161.6582819249836</v>
      </c>
      <c r="O55" s="11">
        <f>$K$40/($K$39+J55)*1000</f>
        <v>0.531299316149395</v>
      </c>
      <c r="P55" s="11">
        <f>K55/$K$43*1.1</f>
        <v>0.1685526145165035</v>
      </c>
      <c r="Q55" s="7">
        <f t="shared" si="5"/>
        <v>156.75393150034824</v>
      </c>
      <c r="R55" s="7">
        <f t="shared" si="8"/>
        <v>39.29919765700123</v>
      </c>
      <c r="S55" s="11">
        <f>K55*O55</f>
        <v>0.3683740471597633</v>
      </c>
    </row>
    <row r="56" spans="1:19" ht="12.75">
      <c r="A56" s="2">
        <v>8.8</v>
      </c>
      <c r="B56" s="7">
        <v>21194.805194805198</v>
      </c>
      <c r="C56" s="4">
        <f t="shared" si="9"/>
        <v>3.6412476804806926</v>
      </c>
      <c r="D56" s="5">
        <f t="shared" si="10"/>
        <v>7.899999999999999</v>
      </c>
      <c r="E56" s="11">
        <f t="shared" si="11"/>
        <v>-0.3533107080622422</v>
      </c>
      <c r="F56" s="11">
        <f t="shared" si="12"/>
        <v>-0.044722874438258516</v>
      </c>
      <c r="I56" s="2">
        <f>I55+8</f>
        <v>88</v>
      </c>
      <c r="J56" s="2">
        <v>1004</v>
      </c>
      <c r="K56" s="4">
        <f t="shared" si="4"/>
        <v>0.5508691873098652</v>
      </c>
      <c r="L56" s="8">
        <f t="shared" si="6"/>
        <v>0.14247642026509533</v>
      </c>
      <c r="M56" s="7">
        <f>K56/1.1*1023</f>
        <v>512.3083441981746</v>
      </c>
      <c r="N56" s="7">
        <f t="shared" si="7"/>
        <v>132.50307084653866</v>
      </c>
      <c r="O56" s="11">
        <f>$K$40/($K$39+J56)*1000</f>
        <v>0.5486744893524554</v>
      </c>
      <c r="P56" s="11">
        <f>K56/$K$43*1.1</f>
        <v>0.13391653565443667</v>
      </c>
      <c r="Q56" s="7">
        <f t="shared" si="5"/>
        <v>124.5423781586261</v>
      </c>
      <c r="R56" s="7">
        <f t="shared" si="8"/>
        <v>32.21155334172215</v>
      </c>
      <c r="S56" s="11">
        <f>K56*O56</f>
        <v>0.3022478700472424</v>
      </c>
    </row>
    <row r="57" spans="1:19" ht="12.75">
      <c r="A57" s="2">
        <v>16.7</v>
      </c>
      <c r="B57" s="7">
        <v>15300.861973612642</v>
      </c>
      <c r="C57" s="4">
        <f t="shared" si="9"/>
        <v>3.2879369724184504</v>
      </c>
      <c r="D57" s="5">
        <f t="shared" si="10"/>
        <v>0.9000000000000021</v>
      </c>
      <c r="E57" s="11">
        <f t="shared" si="11"/>
        <v>-0.0522947540332912</v>
      </c>
      <c r="F57" s="11">
        <f t="shared" si="12"/>
        <v>-0.05810528225921231</v>
      </c>
      <c r="I57" s="2">
        <f>I56+8</f>
        <v>96</v>
      </c>
      <c r="J57" s="2">
        <v>771</v>
      </c>
      <c r="K57" s="4">
        <f t="shared" si="4"/>
        <v>0.43401515995987067</v>
      </c>
      <c r="L57" s="8">
        <f t="shared" si="6"/>
        <v>0.11685402734999456</v>
      </c>
      <c r="M57" s="7">
        <f>K57/1.1*1023</f>
        <v>403.6340987626797</v>
      </c>
      <c r="N57" s="7">
        <f t="shared" si="7"/>
        <v>108.67424543549492</v>
      </c>
      <c r="O57" s="11">
        <f>$K$40/($K$39+J57)*1000</f>
        <v>0.5629249804926987</v>
      </c>
      <c r="P57" s="11">
        <f>K57/$K$43*1.1</f>
        <v>0.10550927149722462</v>
      </c>
      <c r="Q57" s="7">
        <f t="shared" si="5"/>
        <v>98.12362249241889</v>
      </c>
      <c r="R57" s="7">
        <f t="shared" si="8"/>
        <v>26.418755666207204</v>
      </c>
      <c r="S57" s="11">
        <f>K57*O57</f>
        <v>0.24431797545394568</v>
      </c>
    </row>
    <row r="58" spans="1:19" ht="12.75">
      <c r="A58" s="2">
        <v>17.6</v>
      </c>
      <c r="B58" s="7">
        <v>14623.502850217163</v>
      </c>
      <c r="C58" s="4">
        <f t="shared" si="9"/>
        <v>3.235642218385159</v>
      </c>
      <c r="D58" s="5">
        <f t="shared" si="10"/>
        <v>7.099999999999998</v>
      </c>
      <c r="E58" s="11">
        <f t="shared" si="11"/>
        <v>-0.4060996382495947</v>
      </c>
      <c r="F58" s="11">
        <f t="shared" si="12"/>
        <v>-0.05719713214783026</v>
      </c>
      <c r="I58" s="2">
        <v>104</v>
      </c>
      <c r="J58" s="2">
        <v>583</v>
      </c>
      <c r="K58" s="4">
        <f t="shared" si="4"/>
        <v>0.33521006489809857</v>
      </c>
      <c r="L58" s="8">
        <f t="shared" si="6"/>
        <v>0.0988050950617721</v>
      </c>
      <c r="M58" s="7">
        <f>K58/1.1*1023</f>
        <v>311.74536035523164</v>
      </c>
      <c r="N58" s="7">
        <f t="shared" si="7"/>
        <v>91.88873840744805</v>
      </c>
      <c r="O58" s="11">
        <f>$K$40/($K$39+J58)*1000</f>
        <v>0.5749743823295002</v>
      </c>
      <c r="P58" s="11">
        <f>K58/$K$43*1.1</f>
        <v>0.08148971051888118</v>
      </c>
      <c r="Q58" s="7">
        <f t="shared" si="5"/>
        <v>75.7854307825595</v>
      </c>
      <c r="R58" s="7">
        <f t="shared" si="8"/>
        <v>22.338191709859387</v>
      </c>
      <c r="S58" s="11">
        <f>K58*O58</f>
        <v>0.1927372000154159</v>
      </c>
    </row>
    <row r="59" spans="1:6" ht="12.75">
      <c r="A59" s="2">
        <v>24.7</v>
      </c>
      <c r="B59" s="7">
        <v>10449.310556258355</v>
      </c>
      <c r="C59" s="4">
        <f t="shared" si="9"/>
        <v>2.8295425801355645</v>
      </c>
      <c r="D59" s="5">
        <f t="shared" si="10"/>
        <v>5.800000000000001</v>
      </c>
      <c r="E59" s="11">
        <f t="shared" si="11"/>
        <v>-0.32700086902492975</v>
      </c>
      <c r="F59" s="11">
        <f t="shared" si="12"/>
        <v>-0.05637946017671202</v>
      </c>
    </row>
    <row r="60" spans="1:6" ht="12.75">
      <c r="A60" s="2">
        <v>30.5</v>
      </c>
      <c r="B60" s="7">
        <v>8055.41826557397</v>
      </c>
      <c r="C60" s="4">
        <f t="shared" si="9"/>
        <v>2.5025417111106347</v>
      </c>
      <c r="D60" s="5">
        <f t="shared" si="10"/>
        <v>4.700000000000003</v>
      </c>
      <c r="E60" s="11">
        <f t="shared" si="11"/>
        <v>-0.2196019339884887</v>
      </c>
      <c r="F60" s="11">
        <f t="shared" si="12"/>
        <v>-0.04672381574223161</v>
      </c>
    </row>
    <row r="61" spans="1:6" ht="12.75">
      <c r="A61" s="2">
        <v>35.2</v>
      </c>
      <c r="B61" s="7">
        <v>6765.341071229715</v>
      </c>
      <c r="C61" s="4">
        <f t="shared" si="9"/>
        <v>2.282939777122146</v>
      </c>
      <c r="D61" s="5">
        <f t="shared" si="10"/>
        <v>11.099999999999994</v>
      </c>
      <c r="E61" s="11">
        <f t="shared" si="11"/>
        <v>-0.5399110052553255</v>
      </c>
      <c r="F61" s="11">
        <f t="shared" si="12"/>
        <v>-0.048640631104083405</v>
      </c>
    </row>
    <row r="62" spans="1:6" ht="12.75">
      <c r="A62" s="2">
        <v>46.3</v>
      </c>
      <c r="B62" s="7">
        <v>4322.032138566984</v>
      </c>
      <c r="C62" s="4">
        <f t="shared" si="9"/>
        <v>1.7430287718668205</v>
      </c>
      <c r="D62" s="5">
        <f t="shared" si="10"/>
        <v>6.300000000000004</v>
      </c>
      <c r="E62" s="11">
        <f t="shared" si="11"/>
        <v>-0.26316536870957363</v>
      </c>
      <c r="F62" s="11">
        <f t="shared" si="12"/>
        <v>-0.04177228074755134</v>
      </c>
    </row>
    <row r="63" spans="1:6" ht="12.75">
      <c r="A63" s="2">
        <v>52.6</v>
      </c>
      <c r="B63" s="7">
        <v>3398.9959702440783</v>
      </c>
      <c r="C63" s="4">
        <f t="shared" si="9"/>
        <v>1.4798634031572468</v>
      </c>
      <c r="D63" s="5">
        <f t="shared" si="10"/>
        <v>5.399999999999999</v>
      </c>
      <c r="E63" s="11">
        <f t="shared" si="11"/>
        <v>-0.19906027362098255</v>
      </c>
      <c r="F63" s="11">
        <f t="shared" si="12"/>
        <v>-0.036863013633515296</v>
      </c>
    </row>
    <row r="64" spans="1:6" ht="12.75">
      <c r="A64" s="2">
        <v>58</v>
      </c>
      <c r="B64" s="7">
        <v>2786.4253375826465</v>
      </c>
      <c r="C64" s="4">
        <f t="shared" si="9"/>
        <v>1.2808031295362643</v>
      </c>
      <c r="D64" s="5">
        <f t="shared" si="10"/>
        <v>5.299999999999997</v>
      </c>
      <c r="E64" s="11">
        <f t="shared" si="11"/>
        <v>-0.17500195918008465</v>
      </c>
      <c r="F64" s="11">
        <f t="shared" si="12"/>
        <v>-0.03301923758114807</v>
      </c>
    </row>
    <row r="65" spans="1:6" ht="12.75">
      <c r="A65" s="2">
        <v>63.3</v>
      </c>
      <c r="B65" s="7">
        <v>2298.963614301239</v>
      </c>
      <c r="C65" s="4">
        <f t="shared" si="9"/>
        <v>1.1058011703561796</v>
      </c>
      <c r="D65" s="5">
        <f t="shared" si="10"/>
        <v>6.700000000000003</v>
      </c>
      <c r="E65" s="11">
        <f t="shared" si="11"/>
        <v>-0.1939537713318401</v>
      </c>
      <c r="F65" s="11">
        <f t="shared" si="12"/>
        <v>-0.02894832407937911</v>
      </c>
    </row>
    <row r="66" spans="1:6" ht="12.75">
      <c r="A66" s="2">
        <v>70</v>
      </c>
      <c r="B66" s="7">
        <v>1806.8808458723058</v>
      </c>
      <c r="C66" s="4">
        <f t="shared" si="9"/>
        <v>0.9118473990243395</v>
      </c>
      <c r="D66" s="5">
        <f t="shared" si="10"/>
        <v>5</v>
      </c>
      <c r="E66" s="11">
        <f t="shared" si="11"/>
        <v>-0.12469227691047768</v>
      </c>
      <c r="F66" s="11">
        <f t="shared" si="12"/>
        <v>-0.024938455382095537</v>
      </c>
    </row>
    <row r="67" spans="1:6" ht="12.75">
      <c r="A67" s="2">
        <v>75</v>
      </c>
      <c r="B67" s="7">
        <v>1514.1700404858302</v>
      </c>
      <c r="C67" s="4">
        <f t="shared" si="9"/>
        <v>0.7871551221138618</v>
      </c>
      <c r="D67" s="5">
        <f t="shared" si="10"/>
        <v>5</v>
      </c>
      <c r="E67" s="11">
        <f t="shared" si="11"/>
        <v>-0.10126592268211321</v>
      </c>
      <c r="F67" s="11">
        <f t="shared" si="12"/>
        <v>-0.020253184536422643</v>
      </c>
    </row>
    <row r="68" spans="1:6" ht="12.75">
      <c r="A68" s="2">
        <v>80</v>
      </c>
      <c r="B68" s="7">
        <v>1288.76</v>
      </c>
      <c r="C68" s="4">
        <f t="shared" si="9"/>
        <v>0.6858891994317486</v>
      </c>
      <c r="D68" s="5">
        <f t="shared" si="10"/>
        <v>5</v>
      </c>
      <c r="E68" s="11">
        <f t="shared" si="11"/>
        <v>-0.08593936332931051</v>
      </c>
      <c r="F68" s="11">
        <f t="shared" si="12"/>
        <v>-0.0171878726658621</v>
      </c>
    </row>
    <row r="69" spans="1:6" ht="12.75">
      <c r="A69" s="2">
        <v>85</v>
      </c>
      <c r="B69" s="7">
        <v>1105.513078470825</v>
      </c>
      <c r="C69" s="4">
        <f t="shared" si="9"/>
        <v>0.5999498361024381</v>
      </c>
      <c r="D69" s="5">
        <f t="shared" si="10"/>
        <v>5</v>
      </c>
      <c r="E69" s="11">
        <f t="shared" si="11"/>
        <v>-0.08427550579868304</v>
      </c>
      <c r="F69" s="11">
        <f t="shared" si="12"/>
        <v>-0.016855101159736607</v>
      </c>
    </row>
    <row r="70" spans="1:6" ht="12.75">
      <c r="A70" s="2">
        <v>90</v>
      </c>
      <c r="B70" s="7">
        <v>932.5597269624575</v>
      </c>
      <c r="C70" s="4">
        <f t="shared" si="9"/>
        <v>0.5156743303037551</v>
      </c>
      <c r="D70" s="5">
        <f t="shared" si="10"/>
        <v>5</v>
      </c>
      <c r="E70" s="11">
        <f t="shared" si="11"/>
        <v>-0.07187062963706464</v>
      </c>
      <c r="F70" s="11">
        <f t="shared" si="12"/>
        <v>-0.01437412592741293</v>
      </c>
    </row>
    <row r="71" spans="1:6" ht="12.75">
      <c r="A71" s="2">
        <v>95</v>
      </c>
      <c r="B71" s="7">
        <v>790.0641025641027</v>
      </c>
      <c r="C71" s="4">
        <f t="shared" si="9"/>
        <v>0.44380370066669045</v>
      </c>
      <c r="D71" s="5">
        <f t="shared" si="10"/>
        <v>3</v>
      </c>
      <c r="E71" s="11">
        <f t="shared" si="11"/>
        <v>-0.035538896743802395</v>
      </c>
      <c r="F71" s="11">
        <f t="shared" si="12"/>
        <v>-0.011846298914600798</v>
      </c>
    </row>
    <row r="72" spans="1:5" ht="12.75">
      <c r="A72" s="2">
        <v>98</v>
      </c>
      <c r="B72" s="7">
        <v>721.2327396437862</v>
      </c>
      <c r="C72" s="4">
        <f t="shared" si="9"/>
        <v>0.40826480392288805</v>
      </c>
      <c r="D72" s="5"/>
      <c r="E72" s="11"/>
    </row>
  </sheetData>
  <conditionalFormatting sqref="M43:M58 Q43:Q58">
    <cfRule type="cellIs" priority="1" dxfId="0" operator="greaterThan" stopIfTrue="1">
      <formula>1023</formula>
    </cfRule>
  </conditionalFormatting>
  <printOptions/>
  <pageMargins left="0.75" right="0.75" top="1" bottom="1" header="0.4921259845" footer="0.4921259845"/>
  <pageSetup fitToHeight="1" fitToWidth="1" horizontalDpi="1200" verticalDpi="1200" orientation="landscape" paperSize="9" scale="2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2009-01-22T17:46:49Z</cp:lastPrinted>
  <dcterms:created xsi:type="dcterms:W3CDTF">2009-01-17T09:16:52Z</dcterms:created>
  <dcterms:modified xsi:type="dcterms:W3CDTF">2009-01-22T17:50:11Z</dcterms:modified>
  <cp:category/>
  <cp:version/>
  <cp:contentType/>
  <cp:contentStatus/>
</cp:coreProperties>
</file>