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10365" activeTab="0"/>
  </bookViews>
  <sheets>
    <sheet name="Tabelle1" sheetId="1" r:id="rId1"/>
    <sheet name="Tabelle2" sheetId="2" r:id="rId2"/>
    <sheet name="Tabelle3" sheetId="3" r:id="rId3"/>
  </sheets>
  <definedNames>
    <definedName name="AC">'Tabelle1'!$L$8</definedName>
    <definedName name="Delay">'Tabelle1'!$K$4</definedName>
    <definedName name="total">'Tabelle1'!$E$16</definedName>
    <definedName name="vorlauf">'Tabelle1'!$C$12</definedName>
    <definedName name="XTAL">'Tabelle1'!$B$3</definedName>
  </definedNames>
  <calcPr fullCalcOnLoad="1"/>
</workbook>
</file>

<file path=xl/sharedStrings.xml><?xml version="1.0" encoding="utf-8"?>
<sst xmlns="http://schemas.openxmlformats.org/spreadsheetml/2006/main" count="301" uniqueCount="178">
  <si>
    <t>Delay-Routinen und deren Berechnung</t>
  </si>
  <si>
    <t>Vorbereitung</t>
  </si>
  <si>
    <t>Phase</t>
  </si>
  <si>
    <t>Code</t>
  </si>
  <si>
    <t>Cycles</t>
  </si>
  <si>
    <t>XTAL</t>
  </si>
  <si>
    <t>µs</t>
  </si>
  <si>
    <t>inner_loops</t>
  </si>
  <si>
    <t>outerloop:</t>
  </si>
  <si>
    <t>innerloop:</t>
  </si>
  <si>
    <t>dec R16</t>
  </si>
  <si>
    <t>brne innerloop</t>
  </si>
  <si>
    <t>Teilsummen</t>
  </si>
  <si>
    <t>per innerloop</t>
  </si>
  <si>
    <t>total</t>
  </si>
  <si>
    <t>Cyclen pro µs</t>
  </si>
  <si>
    <t>dec R17</t>
  </si>
  <si>
    <t>brne outerloop</t>
  </si>
  <si>
    <t>Summe</t>
  </si>
  <si>
    <t>nop</t>
  </si>
  <si>
    <t>µs Delay</t>
  </si>
  <si>
    <t>Cycles pro µs</t>
  </si>
  <si>
    <t xml:space="preserve">Cycles = </t>
  </si>
  <si>
    <t>Delay * XTAL</t>
  </si>
  <si>
    <t>Delay</t>
  </si>
  <si>
    <t xml:space="preserve"> ------------------ =</t>
  </si>
  <si>
    <t>Procedurecall</t>
  </si>
  <si>
    <t xml:space="preserve">      total Cyles per loop</t>
  </si>
  <si>
    <t xml:space="preserve"> &lt;&lt; ja / nein</t>
  </si>
  <si>
    <t>ERSTENS</t>
  </si>
  <si>
    <t>ZWEITENS</t>
  </si>
  <si>
    <t>DRITTENS</t>
  </si>
  <si>
    <t xml:space="preserve">Delay min </t>
  </si>
  <si>
    <t>Delay max</t>
  </si>
  <si>
    <t>Auflösung</t>
  </si>
  <si>
    <t xml:space="preserve"> C</t>
  </si>
  <si>
    <t>Hz</t>
  </si>
  <si>
    <t>gerundet</t>
  </si>
  <si>
    <t>aufgerundet</t>
  </si>
  <si>
    <t>Füllung</t>
  </si>
  <si>
    <t xml:space="preserve"> = ----------------------------------------------</t>
  </si>
  <si>
    <t>inner_loops =</t>
  </si>
  <si>
    <t xml:space="preserve"> C innerloop</t>
  </si>
  <si>
    <t>prepare inner</t>
  </si>
  <si>
    <t>entspricht</t>
  </si>
  <si>
    <t>total outer loop</t>
  </si>
  <si>
    <t>pro outerloop</t>
  </si>
  <si>
    <t>Gesamt</t>
  </si>
  <si>
    <t xml:space="preserve"> = Auflösung</t>
  </si>
  <si>
    <t>Gesamtverzögerung</t>
  </si>
  <si>
    <t>inneres delay</t>
  </si>
  <si>
    <t>inner cycles</t>
  </si>
  <si>
    <t>inner loops</t>
  </si>
  <si>
    <t>inner auxiliary</t>
  </si>
  <si>
    <t>outer auxiliary</t>
  </si>
  <si>
    <t>VIERTENS</t>
  </si>
  <si>
    <t>u_loops</t>
  </si>
  <si>
    <t>us_delay:</t>
  </si>
  <si>
    <t>gesamtdelay</t>
  </si>
  <si>
    <t>outer cycles</t>
  </si>
  <si>
    <t>inner body</t>
  </si>
  <si>
    <t>mov R18, R16</t>
  </si>
  <si>
    <t>dec R18</t>
  </si>
  <si>
    <t>push R18</t>
  </si>
  <si>
    <t>pop R18</t>
  </si>
  <si>
    <t>pop R16</t>
  </si>
  <si>
    <t>out sreg, R16</t>
  </si>
  <si>
    <t>cli</t>
  </si>
  <si>
    <t>Rahmen</t>
  </si>
  <si>
    <t>Ausgleich</t>
  </si>
  <si>
    <t>Cycles ges</t>
  </si>
  <si>
    <t>Cycles -Procedurecall - Rahmen</t>
  </si>
  <si>
    <t>ja</t>
  </si>
  <si>
    <t>Aufruf</t>
  </si>
  <si>
    <t>in R18, sreg</t>
  </si>
  <si>
    <t>ret</t>
  </si>
  <si>
    <t>&lt;&lt; ja / nein(blank)</t>
  </si>
  <si>
    <t>R17</t>
  </si>
  <si>
    <t>R16</t>
  </si>
  <si>
    <t>Kompensat.</t>
  </si>
  <si>
    <t>innen</t>
  </si>
  <si>
    <t>außen</t>
  </si>
  <si>
    <t>x</t>
  </si>
  <si>
    <t>NOPs</t>
  </si>
  <si>
    <t>Time</t>
  </si>
  <si>
    <t>loops</t>
  </si>
  <si>
    <t>delay_1us:</t>
  </si>
  <si>
    <t>total inner loop</t>
  </si>
  <si>
    <t>pre -NOPS</t>
  </si>
  <si>
    <t>delay_10us:</t>
  </si>
  <si>
    <t>delay_100us:</t>
  </si>
  <si>
    <t>outer loops</t>
  </si>
  <si>
    <t>min = 3</t>
  </si>
  <si>
    <t>min = 1</t>
  </si>
  <si>
    <t>min = 0</t>
  </si>
  <si>
    <t>fest</t>
  </si>
  <si>
    <t>delay result</t>
  </si>
  <si>
    <t>error abs</t>
  </si>
  <si>
    <t>error cycles</t>
  </si>
  <si>
    <t>(µs Delay * XTAL+500000)/1000000</t>
  </si>
  <si>
    <t xml:space="preserve"> -rahmen - preNOPs</t>
  </si>
  <si>
    <t xml:space="preserve"> Ganzzahl</t>
  </si>
  <si>
    <t>i_loops * i_cycl + 4</t>
  </si>
  <si>
    <t xml:space="preserve"> / </t>
  </si>
  <si>
    <t xml:space="preserve"> = </t>
  </si>
  <si>
    <t>min = 4</t>
  </si>
  <si>
    <t>Ganzahl</t>
  </si>
  <si>
    <t>error rel</t>
  </si>
  <si>
    <t>xus_delay:</t>
  </si>
  <si>
    <t>push R17</t>
  </si>
  <si>
    <t>in r17, sreg</t>
  </si>
  <si>
    <t>push R16</t>
  </si>
  <si>
    <t>ldi r16, noloops</t>
  </si>
  <si>
    <t>delay_10us_00:</t>
  </si>
  <si>
    <t>dec r16</t>
  </si>
  <si>
    <t>brne delay_10us_00</t>
  </si>
  <si>
    <t>pop r16</t>
  </si>
  <si>
    <t>out sreg, r17</t>
  </si>
  <si>
    <t>pop r17</t>
  </si>
  <si>
    <t>resulting delay</t>
  </si>
  <si>
    <t>(Ausgleich)</t>
  </si>
  <si>
    <t>push r17</t>
  </si>
  <si>
    <t>push r16</t>
  </si>
  <si>
    <t>delay_100us_00:</t>
  </si>
  <si>
    <t>ldi r17, noouterloops</t>
  </si>
  <si>
    <t>brne delay_100us_01</t>
  </si>
  <si>
    <t>ldi r16, noinnerloops</t>
  </si>
  <si>
    <t>delay_100us_01:</t>
  </si>
  <si>
    <t>dec r17</t>
  </si>
  <si>
    <t>brne delay_100us_00</t>
  </si>
  <si>
    <t>rcall us_delay</t>
  </si>
  <si>
    <t>*</t>
  </si>
  <si>
    <t>delay_us:</t>
  </si>
  <si>
    <t>push R19</t>
  </si>
  <si>
    <t>in R19, SREG</t>
  </si>
  <si>
    <t>ds_delay_00:</t>
  </si>
  <si>
    <t>NOP</t>
  </si>
  <si>
    <t>ldi r18, 0</t>
  </si>
  <si>
    <t>sbiw 24, 1</t>
  </si>
  <si>
    <t>cpi R24, 0</t>
  </si>
  <si>
    <t>cpc R25, R18</t>
  </si>
  <si>
    <t>brne ds_delay_00</t>
  </si>
  <si>
    <t>out SREG, R19</t>
  </si>
  <si>
    <t>pop R19</t>
  </si>
  <si>
    <t xml:space="preserve"> ; wartet anzahl von ms, die in R17 übergeben werden</t>
  </si>
  <si>
    <t xml:space="preserve"> ; delay_ms(anzahl in R17)</t>
  </si>
  <si>
    <t>delay_ms:</t>
  </si>
  <si>
    <t>push r18</t>
  </si>
  <si>
    <t>push r19</t>
  </si>
  <si>
    <t>in r19, sreg</t>
  </si>
  <si>
    <t>push r24</t>
  </si>
  <si>
    <t>push r25</t>
  </si>
  <si>
    <t xml:space="preserve"> -----------------------------</t>
  </si>
  <si>
    <t>ds_delay_ms_00:</t>
  </si>
  <si>
    <t>ds_delay_ms_01:</t>
  </si>
  <si>
    <t>sbiw r24, 1</t>
  </si>
  <si>
    <t>ldi r18,0</t>
  </si>
  <si>
    <t>cpi r24,0</t>
  </si>
  <si>
    <t>cpc r25,r18</t>
  </si>
  <si>
    <t>brne ds_delay_ms_01</t>
  </si>
  <si>
    <t xml:space="preserve">nop </t>
  </si>
  <si>
    <t xml:space="preserve"> 0 (Ausgleich)</t>
  </si>
  <si>
    <t>brne ds_delay_ms_00</t>
  </si>
  <si>
    <t>pop r25</t>
  </si>
  <si>
    <t>pop r24</t>
  </si>
  <si>
    <t>out sreg, r19</t>
  </si>
  <si>
    <t>pop r19</t>
  </si>
  <si>
    <t>pop r18</t>
  </si>
  <si>
    <t>R17 =</t>
  </si>
  <si>
    <t>outer NOPs</t>
  </si>
  <si>
    <t xml:space="preserve"> -Rahmen-NOPS</t>
  </si>
  <si>
    <t xml:space="preserve"> /innercyc</t>
  </si>
  <si>
    <t>ms</t>
  </si>
  <si>
    <t xml:space="preserve"> =GANZZAHL(((GANZZAHL(H126/1000000*$K$122)-$H$122-$M$122-$I$122-$J$122)/$L$122*100+500)/100)-2</t>
  </si>
  <si>
    <t>ldi r24,  low(innerloops)</t>
  </si>
  <si>
    <t>ldi r25, high(innerloops)</t>
  </si>
  <si>
    <t>gewünschtes Delay</t>
  </si>
  <si>
    <t>.equ innerloops = 1000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</si>
</sst>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5" borderId="0" xfId="0" applyFill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9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0" fillId="6" borderId="1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4" borderId="13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7" borderId="1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15" xfId="0" applyFill="1" applyBorder="1" applyAlignment="1">
      <alignment/>
    </xf>
    <xf numFmtId="0" fontId="4" fillId="0" borderId="14" xfId="0" applyFont="1" applyBorder="1" applyAlignment="1">
      <alignment horizontal="center"/>
    </xf>
    <xf numFmtId="0" fontId="0" fillId="2" borderId="12" xfId="0" applyFill="1" applyBorder="1" applyAlignment="1">
      <alignment/>
    </xf>
    <xf numFmtId="0" fontId="2" fillId="6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3" borderId="13" xfId="0" applyFill="1" applyBorder="1" applyAlignment="1">
      <alignment/>
    </xf>
    <xf numFmtId="0" fontId="1" fillId="7" borderId="4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5" xfId="0" applyFill="1" applyBorder="1" applyAlignment="1">
      <alignment/>
    </xf>
    <xf numFmtId="0" fontId="0" fillId="3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" fillId="5" borderId="12" xfId="0" applyFont="1" applyFill="1" applyBorder="1" applyAlignment="1">
      <alignment/>
    </xf>
    <xf numFmtId="0" fontId="1" fillId="7" borderId="13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8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13" xfId="0" applyFill="1" applyBorder="1" applyAlignment="1">
      <alignment horizontal="center"/>
    </xf>
    <xf numFmtId="0" fontId="1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1" fillId="5" borderId="0" xfId="0" applyFont="1" applyFill="1" applyAlignment="1">
      <alignment/>
    </xf>
    <xf numFmtId="0" fontId="0" fillId="5" borderId="13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9" borderId="13" xfId="0" applyFill="1" applyBorder="1" applyAlignment="1">
      <alignment/>
    </xf>
    <xf numFmtId="0" fontId="0" fillId="9" borderId="13" xfId="0" applyFill="1" applyBorder="1" applyAlignment="1">
      <alignment horizontal="center"/>
    </xf>
    <xf numFmtId="0" fontId="0" fillId="9" borderId="11" xfId="0" applyFill="1" applyBorder="1" applyAlignment="1">
      <alignment/>
    </xf>
    <xf numFmtId="0" fontId="1" fillId="8" borderId="14" xfId="0" applyFont="1" applyFill="1" applyBorder="1" applyAlignment="1">
      <alignment/>
    </xf>
    <xf numFmtId="0" fontId="0" fillId="8" borderId="12" xfId="0" applyFill="1" applyBorder="1" applyAlignment="1">
      <alignment/>
    </xf>
    <xf numFmtId="0" fontId="1" fillId="8" borderId="12" xfId="0" applyFont="1" applyFill="1" applyBorder="1" applyAlignment="1">
      <alignment/>
    </xf>
    <xf numFmtId="0" fontId="0" fillId="8" borderId="15" xfId="0" applyFill="1" applyBorder="1" applyAlignment="1">
      <alignment/>
    </xf>
    <xf numFmtId="0" fontId="0" fillId="5" borderId="12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 horizontal="center"/>
    </xf>
    <xf numFmtId="0" fontId="0" fillId="7" borderId="13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6" borderId="11" xfId="0" applyFill="1" applyBorder="1" applyAlignment="1" applyProtection="1">
      <alignment/>
      <protection locked="0"/>
    </xf>
    <xf numFmtId="0" fontId="2" fillId="6" borderId="13" xfId="0" applyFont="1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/>
      <protection locked="0"/>
    </xf>
    <xf numFmtId="0" fontId="2" fillId="6" borderId="13" xfId="0" applyFont="1" applyFill="1" applyBorder="1" applyAlignment="1" applyProtection="1">
      <alignment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15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1" fillId="0" borderId="4" xfId="0" applyFont="1" applyFill="1" applyBorder="1" applyAlignment="1">
      <alignment/>
    </xf>
    <xf numFmtId="0" fontId="0" fillId="2" borderId="13" xfId="0" applyFill="1" applyBorder="1" applyAlignment="1" applyProtection="1">
      <alignment horizontal="center"/>
      <protection/>
    </xf>
    <xf numFmtId="0" fontId="1" fillId="2" borderId="13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0" fillId="10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5" xfId="0" applyFill="1" applyBorder="1" applyAlignment="1">
      <alignment/>
    </xf>
    <xf numFmtId="2" fontId="0" fillId="0" borderId="0" xfId="0" applyNumberFormat="1" applyAlignment="1">
      <alignment/>
    </xf>
    <xf numFmtId="0" fontId="0" fillId="3" borderId="12" xfId="0" applyFill="1" applyBorder="1" applyAlignment="1">
      <alignment/>
    </xf>
    <xf numFmtId="0" fontId="0" fillId="3" borderId="15" xfId="0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2" borderId="0" xfId="0" applyFont="1" applyFill="1" applyAlignment="1">
      <alignment horizontal="center"/>
    </xf>
    <xf numFmtId="0" fontId="1" fillId="6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26</xdr:row>
      <xdr:rowOff>133350</xdr:rowOff>
    </xdr:from>
    <xdr:to>
      <xdr:col>9</xdr:col>
      <xdr:colOff>742950</xdr:colOff>
      <xdr:row>27</xdr:row>
      <xdr:rowOff>142875</xdr:rowOff>
    </xdr:to>
    <xdr:sp>
      <xdr:nvSpPr>
        <xdr:cNvPr id="1" name="Line 2"/>
        <xdr:cNvSpPr>
          <a:spLocks/>
        </xdr:cNvSpPr>
      </xdr:nvSpPr>
      <xdr:spPr>
        <a:xfrm flipH="1">
          <a:off x="2743200" y="4772025"/>
          <a:ext cx="5667375" cy="2190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26</xdr:row>
      <xdr:rowOff>104775</xdr:rowOff>
    </xdr:from>
    <xdr:to>
      <xdr:col>10</xdr:col>
      <xdr:colOff>323850</xdr:colOff>
      <xdr:row>33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2724150" y="4743450"/>
          <a:ext cx="6105525" cy="1238250"/>
        </a:xfrm>
        <a:custGeom>
          <a:pathLst>
            <a:path h="129" w="696">
              <a:moveTo>
                <a:pt x="696" y="129"/>
              </a:moveTo>
              <a:lnTo>
                <a:pt x="1" y="0"/>
              </a:lnTo>
              <a:lnTo>
                <a:pt x="0" y="4"/>
              </a:lnTo>
            </a:path>
          </a:pathLst>
        </a:cu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117</xdr:row>
      <xdr:rowOff>85725</xdr:rowOff>
    </xdr:from>
    <xdr:to>
      <xdr:col>9</xdr:col>
      <xdr:colOff>523875</xdr:colOff>
      <xdr:row>125</xdr:row>
      <xdr:rowOff>57150</xdr:rowOff>
    </xdr:to>
    <xdr:sp>
      <xdr:nvSpPr>
        <xdr:cNvPr id="3" name="Line 5"/>
        <xdr:cNvSpPr>
          <a:spLocks/>
        </xdr:cNvSpPr>
      </xdr:nvSpPr>
      <xdr:spPr>
        <a:xfrm flipH="1" flipV="1">
          <a:off x="2209800" y="20697825"/>
          <a:ext cx="5981700" cy="13049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0"/>
  <sheetViews>
    <sheetView tabSelected="1" workbookViewId="0" topLeftCell="A119">
      <selection activeCell="C118" sqref="C118"/>
    </sheetView>
  </sheetViews>
  <sheetFormatPr defaultColWidth="11.421875" defaultRowHeight="12.75"/>
  <cols>
    <col min="2" max="2" width="19.57421875" style="0" customWidth="1"/>
    <col min="5" max="5" width="12.57421875" style="0" customWidth="1"/>
    <col min="8" max="8" width="13.140625" style="0" customWidth="1"/>
    <col min="9" max="10" width="12.57421875" style="0" customWidth="1"/>
    <col min="11" max="11" width="14.00390625" style="0" customWidth="1"/>
    <col min="12" max="12" width="13.140625" style="0" customWidth="1"/>
  </cols>
  <sheetData>
    <row r="1" ht="13.5" thickBot="1">
      <c r="A1" t="s">
        <v>0</v>
      </c>
    </row>
    <row r="2" spans="1:14" ht="16.5" thickBot="1">
      <c r="A2" s="1"/>
      <c r="B2" s="109" t="s">
        <v>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6.5" thickBot="1">
      <c r="A3" s="4" t="s">
        <v>5</v>
      </c>
      <c r="B3" s="108">
        <v>16000000</v>
      </c>
      <c r="C3" s="5" t="s">
        <v>36</v>
      </c>
      <c r="D3" s="7">
        <f>B3/1000000</f>
        <v>16</v>
      </c>
      <c r="E3" s="5" t="s">
        <v>21</v>
      </c>
      <c r="F3" s="5"/>
      <c r="G3" s="5"/>
      <c r="H3" s="5"/>
      <c r="I3" s="5"/>
      <c r="J3" s="5"/>
      <c r="K3" s="109" t="s">
        <v>30</v>
      </c>
      <c r="L3" s="5"/>
      <c r="M3" s="5"/>
      <c r="N3" s="6"/>
    </row>
    <row r="4" spans="1:14" ht="12.75">
      <c r="A4" s="4"/>
      <c r="B4" s="5"/>
      <c r="C4" s="5"/>
      <c r="D4" s="7">
        <f>Delay</f>
        <v>20</v>
      </c>
      <c r="E4" s="5" t="s">
        <v>20</v>
      </c>
      <c r="F4" s="5"/>
      <c r="G4" s="5"/>
      <c r="H4" s="5"/>
      <c r="I4" s="5"/>
      <c r="J4" s="5" t="s">
        <v>24</v>
      </c>
      <c r="K4" s="108">
        <v>20</v>
      </c>
      <c r="L4" s="5" t="s">
        <v>6</v>
      </c>
      <c r="M4" s="5"/>
      <c r="N4" s="6"/>
    </row>
    <row r="5" spans="1:14" ht="13.5" thickBot="1">
      <c r="A5" s="21" t="s">
        <v>56</v>
      </c>
      <c r="B5" s="108">
        <v>48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6.5" thickBot="1">
      <c r="A6" s="4"/>
      <c r="B6" s="109" t="s">
        <v>31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2.75">
      <c r="A7" s="4"/>
      <c r="B7" s="5"/>
      <c r="C7" s="5"/>
      <c r="D7" s="5"/>
      <c r="E7" s="5"/>
      <c r="F7" s="5"/>
      <c r="G7" s="5"/>
      <c r="H7" s="5"/>
      <c r="I7" s="5"/>
      <c r="J7" s="5"/>
      <c r="K7" s="5" t="s">
        <v>23</v>
      </c>
      <c r="L7" s="5"/>
      <c r="M7" s="5"/>
      <c r="N7" s="6"/>
    </row>
    <row r="8" spans="1:14" ht="12.75">
      <c r="A8" s="4" t="s">
        <v>2</v>
      </c>
      <c r="B8" s="5" t="s">
        <v>3</v>
      </c>
      <c r="C8" s="5" t="s">
        <v>4</v>
      </c>
      <c r="D8" s="5"/>
      <c r="E8" s="5" t="s">
        <v>12</v>
      </c>
      <c r="F8" s="5"/>
      <c r="G8" s="5"/>
      <c r="H8" s="5"/>
      <c r="I8" s="5"/>
      <c r="J8" s="5" t="s">
        <v>22</v>
      </c>
      <c r="K8" s="5" t="s">
        <v>25</v>
      </c>
      <c r="L8" s="7">
        <f>Delay*XTAL/K9</f>
        <v>320</v>
      </c>
      <c r="M8" s="5"/>
      <c r="N8" s="6"/>
    </row>
    <row r="9" spans="1:14" ht="12.75">
      <c r="A9" s="4"/>
      <c r="B9" s="5"/>
      <c r="C9" s="5"/>
      <c r="D9" s="5"/>
      <c r="E9" s="5"/>
      <c r="F9" s="5"/>
      <c r="G9" s="5"/>
      <c r="H9" s="5"/>
      <c r="I9" s="5"/>
      <c r="J9" s="5"/>
      <c r="K9" s="8">
        <v>1000000</v>
      </c>
      <c r="L9" s="5"/>
      <c r="M9" s="5"/>
      <c r="N9" s="6"/>
    </row>
    <row r="10" spans="1:14" ht="13.5" thickBot="1">
      <c r="A10" s="110" t="s">
        <v>67</v>
      </c>
      <c r="B10" s="19"/>
      <c r="C10" s="19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3.5" thickBot="1">
      <c r="A11" s="70" t="s">
        <v>130</v>
      </c>
      <c r="B11" s="5"/>
      <c r="C11" s="5">
        <v>3</v>
      </c>
      <c r="D11" s="5"/>
      <c r="E11" s="5"/>
      <c r="F11" s="5"/>
      <c r="G11" s="5"/>
      <c r="H11" s="5"/>
      <c r="I11" s="5"/>
      <c r="J11" s="5"/>
      <c r="K11" s="103" t="s">
        <v>72</v>
      </c>
      <c r="L11" s="5" t="s">
        <v>28</v>
      </c>
      <c r="M11" s="5"/>
      <c r="N11" s="6"/>
    </row>
    <row r="12" spans="1:14" ht="13.5" thickBot="1">
      <c r="A12" s="51" t="s">
        <v>57</v>
      </c>
      <c r="B12" s="34" t="s">
        <v>19</v>
      </c>
      <c r="C12" s="104">
        <v>1</v>
      </c>
      <c r="D12" s="22" t="s">
        <v>68</v>
      </c>
      <c r="E12" s="5"/>
      <c r="F12" s="5"/>
      <c r="G12" s="7">
        <f>C12</f>
        <v>1</v>
      </c>
      <c r="H12" s="5" t="s">
        <v>4</v>
      </c>
      <c r="I12" s="5"/>
      <c r="J12" s="5" t="s">
        <v>26</v>
      </c>
      <c r="K12" s="11">
        <f>IF(K11="ja",C11+C18,0)</f>
        <v>7</v>
      </c>
      <c r="L12" s="5"/>
      <c r="M12" s="5"/>
      <c r="N12" s="6"/>
    </row>
    <row r="13" spans="1:14" ht="13.5" thickBot="1">
      <c r="A13" s="51" t="s">
        <v>9</v>
      </c>
      <c r="B13" s="34" t="s">
        <v>10</v>
      </c>
      <c r="C13" s="5">
        <v>1</v>
      </c>
      <c r="D13" s="5"/>
      <c r="E13" s="5"/>
      <c r="F13" s="5"/>
      <c r="G13" s="5"/>
      <c r="H13" s="5"/>
      <c r="I13" s="5"/>
      <c r="J13" s="5"/>
      <c r="K13" s="5"/>
      <c r="L13" s="16" t="s">
        <v>71</v>
      </c>
      <c r="M13" s="5"/>
      <c r="N13" s="6"/>
    </row>
    <row r="14" spans="1:14" ht="13.5" thickBot="1">
      <c r="A14" s="51"/>
      <c r="B14" s="34" t="s">
        <v>19</v>
      </c>
      <c r="C14" s="104">
        <v>1</v>
      </c>
      <c r="D14" s="22" t="s">
        <v>39</v>
      </c>
      <c r="E14" s="5"/>
      <c r="F14" s="5"/>
      <c r="G14" s="5"/>
      <c r="H14" s="5"/>
      <c r="I14" s="5"/>
      <c r="J14" s="5" t="s">
        <v>7</v>
      </c>
      <c r="K14" s="39">
        <f>(AC-K12-vorlauf)/(total)</f>
        <v>78</v>
      </c>
      <c r="L14" s="5" t="s">
        <v>40</v>
      </c>
      <c r="M14" s="5"/>
      <c r="N14" s="6"/>
    </row>
    <row r="15" spans="1:14" ht="13.5" thickBot="1">
      <c r="A15" s="51"/>
      <c r="B15" s="34"/>
      <c r="C15" s="5"/>
      <c r="D15" s="5"/>
      <c r="E15" s="5"/>
      <c r="F15" s="5"/>
      <c r="G15" s="5"/>
      <c r="H15" s="5"/>
      <c r="I15" s="5"/>
      <c r="J15" s="5" t="s">
        <v>38</v>
      </c>
      <c r="K15" s="39">
        <f>INT((AC-K12-vorlauf)/(total)+1)</f>
        <v>79</v>
      </c>
      <c r="L15" s="16" t="s">
        <v>27</v>
      </c>
      <c r="M15" s="5"/>
      <c r="N15" s="6"/>
    </row>
    <row r="16" spans="1:14" ht="12.75">
      <c r="A16" s="51"/>
      <c r="B16" s="34" t="s">
        <v>11</v>
      </c>
      <c r="C16" s="5">
        <v>2</v>
      </c>
      <c r="D16" s="5" t="s">
        <v>14</v>
      </c>
      <c r="E16" s="7">
        <f>SUM(C13:C16)</f>
        <v>4</v>
      </c>
      <c r="F16" s="5" t="s">
        <v>13</v>
      </c>
      <c r="G16" s="7">
        <f>B5*E16</f>
        <v>192</v>
      </c>
      <c r="H16" s="5" t="s">
        <v>70</v>
      </c>
      <c r="I16" s="5"/>
      <c r="J16" s="5"/>
      <c r="K16" s="5"/>
      <c r="L16" s="5"/>
      <c r="M16" s="5"/>
      <c r="N16" s="6"/>
    </row>
    <row r="17" spans="1:14" ht="12.75">
      <c r="A17" s="9"/>
      <c r="B17" s="34" t="s">
        <v>19</v>
      </c>
      <c r="C17" s="19">
        <v>0</v>
      </c>
      <c r="D17" s="19" t="s">
        <v>69</v>
      </c>
      <c r="E17" s="5"/>
      <c r="F17" s="5"/>
      <c r="G17" s="5">
        <f>C17</f>
        <v>0</v>
      </c>
      <c r="H17" s="5"/>
      <c r="I17" s="5"/>
      <c r="J17" s="5"/>
      <c r="K17" s="5"/>
      <c r="L17" s="5"/>
      <c r="M17" s="5" t="s">
        <v>41</v>
      </c>
      <c r="N17" s="6"/>
    </row>
    <row r="18" spans="1:14" ht="12.75">
      <c r="A18" s="4"/>
      <c r="B18" s="34" t="s">
        <v>75</v>
      </c>
      <c r="C18" s="19">
        <v>4</v>
      </c>
      <c r="D18" s="5"/>
      <c r="E18" s="5"/>
      <c r="F18" s="5"/>
      <c r="G18" s="5"/>
      <c r="H18" s="5"/>
      <c r="I18" s="5"/>
      <c r="J18" s="5" t="s">
        <v>32</v>
      </c>
      <c r="K18" s="5">
        <f>(total+K12)/D3</f>
        <v>0.6875</v>
      </c>
      <c r="L18" s="18" t="s">
        <v>6</v>
      </c>
      <c r="M18" s="8">
        <v>1</v>
      </c>
      <c r="N18" s="6"/>
    </row>
    <row r="19" spans="1:14" ht="15.75">
      <c r="A19" s="4"/>
      <c r="B19" s="5"/>
      <c r="C19" s="5"/>
      <c r="D19" s="5"/>
      <c r="E19" s="5"/>
      <c r="F19" s="5" t="s">
        <v>18</v>
      </c>
      <c r="G19" s="12">
        <f>SUM(G11:G18)+K12</f>
        <v>200</v>
      </c>
      <c r="H19" s="5" t="s">
        <v>4</v>
      </c>
      <c r="I19" s="5"/>
      <c r="J19" s="5" t="s">
        <v>33</v>
      </c>
      <c r="K19" s="5">
        <f>(total*255+K12)/D3</f>
        <v>64.1875</v>
      </c>
      <c r="L19" s="19" t="s">
        <v>6</v>
      </c>
      <c r="M19" s="8">
        <v>255</v>
      </c>
      <c r="N19" s="6"/>
    </row>
    <row r="20" spans="1:14" ht="12.75">
      <c r="A20" s="4"/>
      <c r="B20" s="5"/>
      <c r="C20" s="5"/>
      <c r="D20" s="5"/>
      <c r="E20" s="5"/>
      <c r="F20" s="5"/>
      <c r="G20" s="20">
        <f>G19/D3</f>
        <v>12.5</v>
      </c>
      <c r="H20" s="5" t="s">
        <v>6</v>
      </c>
      <c r="I20" s="5"/>
      <c r="J20" s="19" t="s">
        <v>34</v>
      </c>
      <c r="K20" s="5">
        <f>total/D3</f>
        <v>0.25</v>
      </c>
      <c r="L20" s="18" t="s">
        <v>6</v>
      </c>
      <c r="M20" s="5"/>
      <c r="N20" s="6"/>
    </row>
    <row r="21" spans="1:14" ht="13.5" thickBo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ht="13.5" thickBot="1"/>
    <row r="23" spans="1:14" ht="16.5" thickBot="1">
      <c r="A23" s="1"/>
      <c r="B23" s="17" t="s">
        <v>29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</row>
    <row r="24" spans="1:14" ht="16.5" thickBot="1">
      <c r="A24" s="4" t="s">
        <v>5</v>
      </c>
      <c r="B24" s="102">
        <v>16000000</v>
      </c>
      <c r="C24" s="5" t="s">
        <v>36</v>
      </c>
      <c r="D24" s="7">
        <f>B24/1000000</f>
        <v>16</v>
      </c>
      <c r="E24" s="5" t="s">
        <v>15</v>
      </c>
      <c r="F24" s="5"/>
      <c r="G24" s="5"/>
      <c r="H24" s="5"/>
      <c r="I24" s="5"/>
      <c r="J24" s="5"/>
      <c r="K24" s="5"/>
      <c r="L24" s="46" t="s">
        <v>30</v>
      </c>
      <c r="M24" s="5"/>
      <c r="N24" s="6"/>
    </row>
    <row r="25" spans="1:14" ht="13.5" thickBot="1">
      <c r="A25" s="4"/>
      <c r="B25" s="5"/>
      <c r="C25" s="5"/>
      <c r="D25" s="5"/>
      <c r="E25" s="5"/>
      <c r="F25" s="5"/>
      <c r="G25" s="5"/>
      <c r="H25" s="5"/>
      <c r="I25" s="5"/>
      <c r="J25" s="5"/>
      <c r="K25" s="5" t="s">
        <v>50</v>
      </c>
      <c r="L25" s="104">
        <v>2</v>
      </c>
      <c r="M25" s="5" t="s">
        <v>6</v>
      </c>
      <c r="N25" s="6"/>
    </row>
    <row r="26" spans="1:14" ht="16.5" thickBot="1">
      <c r="A26" s="4"/>
      <c r="B26" s="46" t="s">
        <v>55</v>
      </c>
      <c r="C26" s="5"/>
      <c r="D26" s="5"/>
      <c r="E26" s="5"/>
      <c r="F26" s="5"/>
      <c r="G26" s="5"/>
      <c r="H26" s="5"/>
      <c r="I26" s="5"/>
      <c r="J26" s="5"/>
      <c r="K26" s="5" t="s">
        <v>51</v>
      </c>
      <c r="L26" s="47">
        <f>L25*B24/1000000</f>
        <v>32</v>
      </c>
      <c r="M26" s="5" t="s">
        <v>35</v>
      </c>
      <c r="N26" s="6"/>
    </row>
    <row r="27" spans="1:14" ht="16.5" thickBot="1">
      <c r="A27" s="80" t="s">
        <v>77</v>
      </c>
      <c r="B27" s="106">
        <v>22</v>
      </c>
      <c r="C27" s="5" t="s">
        <v>81</v>
      </c>
      <c r="D27" s="5"/>
      <c r="E27" s="5"/>
      <c r="F27" s="5"/>
      <c r="G27" s="5"/>
      <c r="H27" s="5"/>
      <c r="I27" s="5"/>
      <c r="J27" s="5"/>
      <c r="K27" s="19" t="s">
        <v>52</v>
      </c>
      <c r="L27" s="44">
        <f>L26/E42</f>
        <v>8</v>
      </c>
      <c r="M27" s="19" t="s">
        <v>35</v>
      </c>
      <c r="N27" s="6"/>
    </row>
    <row r="28" spans="1:14" ht="16.5" thickBot="1">
      <c r="A28" s="81" t="s">
        <v>78</v>
      </c>
      <c r="B28" s="107">
        <v>8</v>
      </c>
      <c r="C28" s="5" t="s">
        <v>80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2.75">
      <c r="A29" s="4"/>
      <c r="C29" s="5"/>
      <c r="D29" s="5"/>
      <c r="E29" s="5"/>
      <c r="F29" s="5"/>
      <c r="G29" s="5"/>
      <c r="H29" s="5"/>
      <c r="I29" s="5"/>
      <c r="J29" s="5"/>
      <c r="N29" s="6"/>
    </row>
    <row r="30" spans="1:14" ht="13.5" thickBot="1">
      <c r="A30" s="4"/>
      <c r="B30" s="5"/>
      <c r="C30" s="5"/>
      <c r="D30" s="5"/>
      <c r="E30" s="5"/>
      <c r="F30" s="5"/>
      <c r="G30" s="5"/>
      <c r="J30" s="5"/>
      <c r="K30" s="5"/>
      <c r="L30" s="5"/>
      <c r="M30" s="5"/>
      <c r="N30" s="6"/>
    </row>
    <row r="31" spans="1:14" ht="16.5" thickBot="1">
      <c r="A31" s="4" t="s">
        <v>2</v>
      </c>
      <c r="B31" s="5" t="s">
        <v>3</v>
      </c>
      <c r="C31" s="5" t="s">
        <v>4</v>
      </c>
      <c r="D31" s="5"/>
      <c r="E31" s="5" t="s">
        <v>12</v>
      </c>
      <c r="F31" s="5"/>
      <c r="G31" s="5"/>
      <c r="K31" s="5"/>
      <c r="L31" s="46" t="s">
        <v>31</v>
      </c>
      <c r="M31" s="5"/>
      <c r="N31" s="6"/>
    </row>
    <row r="32" spans="1:14" ht="13.5" thickBot="1">
      <c r="A32" s="28" t="s">
        <v>1</v>
      </c>
      <c r="D32" s="5"/>
      <c r="E32" s="5"/>
      <c r="F32" s="5"/>
      <c r="G32" s="5"/>
      <c r="K32" s="5" t="s">
        <v>58</v>
      </c>
      <c r="L32" s="104">
        <v>50</v>
      </c>
      <c r="M32" s="5" t="s">
        <v>6</v>
      </c>
      <c r="N32" s="6"/>
    </row>
    <row r="33" spans="1:14" ht="13.5" thickBot="1">
      <c r="A33" s="9" t="s">
        <v>73</v>
      </c>
      <c r="B33" s="34" t="s">
        <v>108</v>
      </c>
      <c r="C33" s="62">
        <f>IF(I36="ja",3,0)</f>
        <v>3</v>
      </c>
      <c r="D33" s="10"/>
      <c r="E33" s="8"/>
      <c r="F33" s="5"/>
      <c r="G33" s="5"/>
      <c r="H33" s="5"/>
      <c r="I33" s="8"/>
      <c r="K33" s="5" t="s">
        <v>59</v>
      </c>
      <c r="L33" s="45">
        <f>(L32*D24-C33-C48-D37-D48)/I45</f>
        <v>21.583333333333332</v>
      </c>
      <c r="M33" s="5" t="s">
        <v>35</v>
      </c>
      <c r="N33" s="6"/>
    </row>
    <row r="34" spans="1:14" ht="13.5" thickBot="1">
      <c r="A34" s="9"/>
      <c r="B34" s="49" t="s">
        <v>63</v>
      </c>
      <c r="C34" s="50">
        <v>2</v>
      </c>
      <c r="D34" s="54"/>
      <c r="E34" s="8"/>
      <c r="F34" s="5"/>
      <c r="G34" s="5"/>
      <c r="K34" s="19" t="s">
        <v>37</v>
      </c>
      <c r="L34" s="44">
        <f>INT(((L32*D24-C33-C48-D37-D48)/I45+1))</f>
        <v>22</v>
      </c>
      <c r="M34" s="5" t="s">
        <v>35</v>
      </c>
      <c r="N34" s="6"/>
    </row>
    <row r="35" spans="1:14" ht="13.5" thickBot="1">
      <c r="A35" s="9"/>
      <c r="B35" s="51" t="s">
        <v>74</v>
      </c>
      <c r="C35" s="10">
        <v>1</v>
      </c>
      <c r="D35" s="55"/>
      <c r="E35" s="8"/>
      <c r="F35" s="5"/>
      <c r="G35" s="5"/>
      <c r="H35" s="5"/>
      <c r="I35" s="56" t="s">
        <v>26</v>
      </c>
      <c r="J35" s="8"/>
      <c r="K35" s="5"/>
      <c r="L35" s="19"/>
      <c r="M35" s="5"/>
      <c r="N35" s="6"/>
    </row>
    <row r="36" spans="1:14" ht="13.5" thickBot="1">
      <c r="A36" s="9"/>
      <c r="B36" s="51" t="s">
        <v>63</v>
      </c>
      <c r="C36" s="10">
        <v>2</v>
      </c>
      <c r="D36" s="55"/>
      <c r="E36" s="8"/>
      <c r="F36" s="5"/>
      <c r="G36" s="5"/>
      <c r="H36" s="5"/>
      <c r="I36" s="103" t="s">
        <v>72</v>
      </c>
      <c r="J36" s="16" t="s">
        <v>76</v>
      </c>
      <c r="K36" s="5"/>
      <c r="L36" s="19"/>
      <c r="M36" s="5"/>
      <c r="N36" s="6"/>
    </row>
    <row r="37" spans="1:14" ht="13.5" thickBot="1">
      <c r="A37" s="9"/>
      <c r="B37" s="52" t="s">
        <v>19</v>
      </c>
      <c r="C37" s="53">
        <v>0</v>
      </c>
      <c r="D37" s="57">
        <f>SUM(C33:C37)</f>
        <v>8</v>
      </c>
      <c r="E37" s="8"/>
      <c r="F37" s="5"/>
      <c r="G37" s="5"/>
      <c r="J37" s="5"/>
      <c r="K37" s="5"/>
      <c r="L37" s="19"/>
      <c r="M37" s="5"/>
      <c r="N37" s="6"/>
    </row>
    <row r="38" spans="1:14" ht="13.5" thickBot="1">
      <c r="A38" s="37" t="s">
        <v>8</v>
      </c>
      <c r="B38" s="38" t="s">
        <v>61</v>
      </c>
      <c r="C38" s="19">
        <v>1</v>
      </c>
      <c r="D38" s="19" t="s">
        <v>43</v>
      </c>
      <c r="E38" s="5"/>
      <c r="F38" s="5"/>
      <c r="G38" s="5"/>
      <c r="H38" s="5" t="s">
        <v>54</v>
      </c>
      <c r="I38" s="41">
        <v>1</v>
      </c>
      <c r="J38" s="5"/>
      <c r="L38" s="19"/>
      <c r="M38" s="5" t="s">
        <v>35</v>
      </c>
      <c r="N38" s="6"/>
    </row>
    <row r="39" spans="1:14" ht="13.5" thickBot="1">
      <c r="A39" s="63"/>
      <c r="B39" s="38" t="s">
        <v>19</v>
      </c>
      <c r="C39" s="101">
        <v>0</v>
      </c>
      <c r="D39" s="19" t="s">
        <v>53</v>
      </c>
      <c r="E39" s="64"/>
      <c r="F39" s="19"/>
      <c r="G39" s="64"/>
      <c r="H39" s="63"/>
      <c r="I39" s="43">
        <f>C39</f>
        <v>0</v>
      </c>
      <c r="J39" s="5"/>
      <c r="K39" s="5"/>
      <c r="L39" s="5"/>
      <c r="M39" s="5"/>
      <c r="N39" s="6"/>
    </row>
    <row r="40" spans="1:14" ht="13.5" thickBot="1">
      <c r="A40" s="35" t="s">
        <v>9</v>
      </c>
      <c r="B40" s="65" t="s">
        <v>62</v>
      </c>
      <c r="C40" s="30">
        <v>1</v>
      </c>
      <c r="D40" s="30"/>
      <c r="E40" s="31"/>
      <c r="F40" s="30"/>
      <c r="G40" s="31"/>
      <c r="H40" s="23"/>
      <c r="I40" s="42"/>
      <c r="J40" s="5"/>
      <c r="K40" s="5"/>
      <c r="L40" s="5"/>
      <c r="M40" s="5"/>
      <c r="N40" s="6"/>
    </row>
    <row r="41" spans="1:14" ht="13.5" thickBot="1">
      <c r="A41" s="29"/>
      <c r="B41" s="65" t="s">
        <v>19</v>
      </c>
      <c r="C41" s="101">
        <v>1</v>
      </c>
      <c r="D41" s="30" t="s">
        <v>60</v>
      </c>
      <c r="E41" s="31"/>
      <c r="F41" s="30"/>
      <c r="G41" s="31"/>
      <c r="H41" s="23"/>
      <c r="I41" s="42"/>
      <c r="J41" s="5"/>
      <c r="K41" s="5"/>
      <c r="L41" s="5"/>
      <c r="M41" s="5"/>
      <c r="N41" s="6"/>
    </row>
    <row r="42" spans="1:14" ht="13.5" thickBot="1">
      <c r="A42" s="29"/>
      <c r="B42" s="65" t="s">
        <v>11</v>
      </c>
      <c r="C42" s="30">
        <v>2</v>
      </c>
      <c r="D42" s="24" t="s">
        <v>14</v>
      </c>
      <c r="E42" s="25">
        <f>SUM(C40:C42)</f>
        <v>4</v>
      </c>
      <c r="F42" s="26" t="s">
        <v>13</v>
      </c>
      <c r="G42" s="27">
        <f>B28*E42</f>
        <v>32</v>
      </c>
      <c r="H42" s="40" t="s">
        <v>42</v>
      </c>
      <c r="I42" s="43">
        <f>G42</f>
        <v>32</v>
      </c>
      <c r="J42" s="8" t="s">
        <v>44</v>
      </c>
      <c r="K42" s="5">
        <f>I42/D24</f>
        <v>2</v>
      </c>
      <c r="L42" s="5" t="s">
        <v>6</v>
      </c>
      <c r="M42" s="5" t="s">
        <v>48</v>
      </c>
      <c r="N42" s="6"/>
    </row>
    <row r="43" spans="1:14" ht="12.75">
      <c r="A43" s="4"/>
      <c r="B43" s="65" t="s">
        <v>16</v>
      </c>
      <c r="C43" s="5">
        <v>1</v>
      </c>
      <c r="D43" s="5"/>
      <c r="E43" s="8"/>
      <c r="F43" s="5"/>
      <c r="G43" s="8"/>
      <c r="H43" s="5"/>
      <c r="I43" s="42"/>
      <c r="J43" s="5"/>
      <c r="K43" s="5"/>
      <c r="L43" s="5"/>
      <c r="M43" s="5"/>
      <c r="N43" s="6"/>
    </row>
    <row r="44" spans="1:15" ht="13.5" thickBot="1">
      <c r="A44" s="13"/>
      <c r="B44" s="38" t="s">
        <v>17</v>
      </c>
      <c r="C44" s="5">
        <v>2</v>
      </c>
      <c r="D44" s="5"/>
      <c r="E44" s="8"/>
      <c r="F44" s="5"/>
      <c r="G44" s="8"/>
      <c r="H44" s="5"/>
      <c r="I44" s="67">
        <f>C44</f>
        <v>2</v>
      </c>
      <c r="J44" s="5"/>
      <c r="K44" s="5"/>
      <c r="L44" s="5"/>
      <c r="M44" s="5"/>
      <c r="N44" s="6"/>
      <c r="O44" t="s">
        <v>131</v>
      </c>
    </row>
    <row r="45" spans="1:14" ht="16.5" thickBot="1">
      <c r="A45" s="4"/>
      <c r="B45" s="49" t="s">
        <v>64</v>
      </c>
      <c r="C45" s="50">
        <v>2</v>
      </c>
      <c r="D45" s="54"/>
      <c r="E45" s="8"/>
      <c r="F45" s="5"/>
      <c r="G45" s="32"/>
      <c r="H45" s="5" t="s">
        <v>45</v>
      </c>
      <c r="I45" s="66">
        <f>SUM(I38:I44)+C46</f>
        <v>36</v>
      </c>
      <c r="J45" s="8" t="s">
        <v>44</v>
      </c>
      <c r="K45" s="5">
        <f>I45/D24</f>
        <v>2.25</v>
      </c>
      <c r="L45" s="5" t="s">
        <v>6</v>
      </c>
      <c r="M45" s="5" t="s">
        <v>46</v>
      </c>
      <c r="N45" s="6"/>
    </row>
    <row r="46" spans="1:14" ht="12.75">
      <c r="A46" s="4"/>
      <c r="B46" s="58" t="s">
        <v>66</v>
      </c>
      <c r="C46" s="59">
        <v>1</v>
      </c>
      <c r="D46" s="60" t="s">
        <v>79</v>
      </c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1:14" ht="13.5" thickBot="1">
      <c r="A47" s="4"/>
      <c r="B47" s="51" t="s">
        <v>65</v>
      </c>
      <c r="C47" s="10">
        <v>2</v>
      </c>
      <c r="D47" s="55"/>
      <c r="E47" s="5"/>
      <c r="F47" s="5"/>
      <c r="G47" s="5"/>
      <c r="H47" s="5" t="s">
        <v>47</v>
      </c>
      <c r="I47" s="33">
        <f>I45*B27+D37+D48</f>
        <v>808</v>
      </c>
      <c r="J47" s="8" t="s">
        <v>44</v>
      </c>
      <c r="K47" s="5">
        <f>I47/D24</f>
        <v>50.5</v>
      </c>
      <c r="L47" s="5" t="s">
        <v>6</v>
      </c>
      <c r="M47" s="5" t="s">
        <v>49</v>
      </c>
      <c r="N47" s="6"/>
    </row>
    <row r="48" spans="1:14" ht="13.5" thickBot="1">
      <c r="A48" s="13"/>
      <c r="B48" s="52" t="s">
        <v>75</v>
      </c>
      <c r="C48" s="62">
        <f>IF(I36="ja",4,0)</f>
        <v>4</v>
      </c>
      <c r="D48" s="61">
        <f>C45+C47+C48</f>
        <v>8</v>
      </c>
      <c r="E48" s="14"/>
      <c r="F48" s="14"/>
      <c r="G48" s="14"/>
      <c r="H48" s="14"/>
      <c r="I48" s="14"/>
      <c r="J48" s="14"/>
      <c r="K48" s="14"/>
      <c r="L48" s="14"/>
      <c r="M48" s="14"/>
      <c r="N48" s="15"/>
    </row>
    <row r="51" spans="2:9" ht="12.75">
      <c r="B51" s="71" t="s">
        <v>86</v>
      </c>
      <c r="C51">
        <v>3</v>
      </c>
      <c r="H51" s="71" t="s">
        <v>89</v>
      </c>
      <c r="I51">
        <v>3</v>
      </c>
    </row>
    <row r="52" spans="2:13" ht="12.75">
      <c r="B52" s="71" t="s">
        <v>67</v>
      </c>
      <c r="C52">
        <v>1</v>
      </c>
      <c r="H52" s="83" t="s">
        <v>109</v>
      </c>
      <c r="I52">
        <v>2</v>
      </c>
      <c r="M52" t="s">
        <v>95</v>
      </c>
    </row>
    <row r="53" spans="2:14" ht="13.5" thickBot="1">
      <c r="B53" s="71" t="s">
        <v>19</v>
      </c>
      <c r="C53" s="68" t="s">
        <v>82</v>
      </c>
      <c r="H53" s="83" t="s">
        <v>110</v>
      </c>
      <c r="I53">
        <v>1</v>
      </c>
      <c r="K53" t="s">
        <v>68</v>
      </c>
      <c r="L53" t="s">
        <v>88</v>
      </c>
      <c r="M53" s="68" t="s">
        <v>20</v>
      </c>
      <c r="N53" s="68" t="s">
        <v>87</v>
      </c>
    </row>
    <row r="54" spans="2:14" ht="13.5" thickBot="1">
      <c r="B54" s="71" t="s">
        <v>75</v>
      </c>
      <c r="C54" s="69">
        <v>4</v>
      </c>
      <c r="H54" s="83" t="s">
        <v>111</v>
      </c>
      <c r="I54">
        <v>2</v>
      </c>
      <c r="K54" s="82">
        <f>J56+J65</f>
        <v>19</v>
      </c>
      <c r="L54" s="82">
        <f>I55</f>
        <v>1</v>
      </c>
      <c r="M54" s="111">
        <v>10</v>
      </c>
      <c r="N54" s="82">
        <f>J61</f>
        <v>5</v>
      </c>
    </row>
    <row r="55" spans="8:14" ht="13.5" thickBot="1">
      <c r="H55" s="84" t="s">
        <v>19</v>
      </c>
      <c r="I55" s="104">
        <v>1</v>
      </c>
      <c r="N55" s="68"/>
    </row>
    <row r="56" spans="2:14" ht="13.5" thickBot="1">
      <c r="B56" s="68" t="s">
        <v>5</v>
      </c>
      <c r="D56" s="68" t="s">
        <v>83</v>
      </c>
      <c r="E56" s="68" t="s">
        <v>4</v>
      </c>
      <c r="F56" s="68" t="s">
        <v>84</v>
      </c>
      <c r="H56" s="85" t="s">
        <v>112</v>
      </c>
      <c r="I56">
        <v>1</v>
      </c>
      <c r="J56" s="62">
        <f>SUM(I51:I56)</f>
        <v>10</v>
      </c>
      <c r="K56" s="68" t="s">
        <v>5</v>
      </c>
      <c r="L56" s="68" t="s">
        <v>85</v>
      </c>
      <c r="N56" s="68" t="s">
        <v>119</v>
      </c>
    </row>
    <row r="57" spans="2:14" ht="13.5" thickBot="1">
      <c r="B57" s="68">
        <v>20000000</v>
      </c>
      <c r="D57" s="68">
        <f>B57/1000000-8</f>
        <v>12</v>
      </c>
      <c r="E57" s="68">
        <f aca="true" t="shared" si="0" ref="E57:E62">D57+$C$51+$C$52+$C$54</f>
        <v>20</v>
      </c>
      <c r="F57" s="68">
        <f aca="true" t="shared" si="1" ref="F57:F62">B57/E57/1000000</f>
        <v>1</v>
      </c>
      <c r="G57" t="s">
        <v>6</v>
      </c>
      <c r="H57" s="86" t="s">
        <v>113</v>
      </c>
      <c r="K57" s="68">
        <v>20000000</v>
      </c>
      <c r="L57" s="68">
        <f>($M$54*K57/1000000-$K$54-$L$54)/$N$54</f>
        <v>36</v>
      </c>
      <c r="N57" s="68">
        <f>(L57*$N$54+$K$54+$L$54)/K57*1000000</f>
        <v>10</v>
      </c>
    </row>
    <row r="58" spans="2:14" ht="13.5" thickBot="1">
      <c r="B58" s="68">
        <v>16000000</v>
      </c>
      <c r="D58" s="68">
        <f>B58/1000000-8</f>
        <v>8</v>
      </c>
      <c r="E58" s="68">
        <f t="shared" si="0"/>
        <v>16</v>
      </c>
      <c r="F58" s="68">
        <f t="shared" si="1"/>
        <v>1</v>
      </c>
      <c r="G58" t="s">
        <v>6</v>
      </c>
      <c r="H58" s="23" t="s">
        <v>19</v>
      </c>
      <c r="J58" s="104">
        <v>2</v>
      </c>
      <c r="K58" s="68">
        <v>16000000</v>
      </c>
      <c r="L58" s="68">
        <f>($M$54*K58/1000000-$K$54-$L$54)/$N$54</f>
        <v>28</v>
      </c>
      <c r="N58" s="68">
        <f>(L58*$N$54+$K$54+$L$54)/K58*1000000</f>
        <v>10</v>
      </c>
    </row>
    <row r="59" spans="2:14" ht="12.75">
      <c r="B59" s="68">
        <v>12000000</v>
      </c>
      <c r="D59" s="68">
        <f>B59/1000000-8</f>
        <v>4</v>
      </c>
      <c r="E59" s="68">
        <f t="shared" si="0"/>
        <v>12</v>
      </c>
      <c r="F59" s="68">
        <f t="shared" si="1"/>
        <v>1</v>
      </c>
      <c r="G59" t="s">
        <v>6</v>
      </c>
      <c r="H59" s="23" t="s">
        <v>114</v>
      </c>
      <c r="J59">
        <v>1</v>
      </c>
      <c r="K59" s="68">
        <v>12000000</v>
      </c>
      <c r="L59" s="68">
        <f>($M$54*K59/1000000-$K$54-$L$54)/$N$54</f>
        <v>20</v>
      </c>
      <c r="N59" s="68">
        <f>(L59*$N$54+$K$54+$L$54)/K59*1000000</f>
        <v>10</v>
      </c>
    </row>
    <row r="60" spans="2:14" ht="13.5" thickBot="1">
      <c r="B60" s="68">
        <v>10000000</v>
      </c>
      <c r="D60" s="68">
        <f>B60/1000000-8</f>
        <v>2</v>
      </c>
      <c r="E60" s="68">
        <f t="shared" si="0"/>
        <v>10</v>
      </c>
      <c r="F60" s="68">
        <f t="shared" si="1"/>
        <v>1</v>
      </c>
      <c r="G60" t="s">
        <v>6</v>
      </c>
      <c r="H60" s="23" t="s">
        <v>115</v>
      </c>
      <c r="J60">
        <v>2</v>
      </c>
      <c r="K60" s="68">
        <v>10000000</v>
      </c>
      <c r="L60" s="68">
        <f>($M$54*K60/1000000-$K$54-$L$54)/$N$54</f>
        <v>16</v>
      </c>
      <c r="N60" s="68">
        <f>(L60*$N$54+$K$54+$L$54)/K60*1000000</f>
        <v>10</v>
      </c>
    </row>
    <row r="61" spans="2:14" ht="13.5" thickBot="1">
      <c r="B61" s="68">
        <v>8000000</v>
      </c>
      <c r="D61" s="68">
        <f>B61/1000000-8</f>
        <v>0</v>
      </c>
      <c r="E61" s="68">
        <f t="shared" si="0"/>
        <v>8</v>
      </c>
      <c r="F61" s="68">
        <f t="shared" si="1"/>
        <v>1</v>
      </c>
      <c r="G61" t="s">
        <v>6</v>
      </c>
      <c r="H61" s="23" t="s">
        <v>19</v>
      </c>
      <c r="I61" t="s">
        <v>120</v>
      </c>
      <c r="J61" s="62">
        <f>SUM(J58:J60)</f>
        <v>5</v>
      </c>
      <c r="K61" s="68">
        <v>8000000</v>
      </c>
      <c r="L61" s="68">
        <f>($M$54*K61/1000000-$K$54-$L$54)/$N$54</f>
        <v>12</v>
      </c>
      <c r="N61" s="68">
        <f>(L61*$N$54+$K$54+$L$54)/K61*1000000</f>
        <v>10</v>
      </c>
    </row>
    <row r="62" spans="2:14" ht="16.5" thickBot="1">
      <c r="B62" s="102">
        <v>14687000</v>
      </c>
      <c r="C62" s="72">
        <f>INT((B62+500000)/1000000)-8</f>
        <v>7</v>
      </c>
      <c r="D62" s="102">
        <v>6</v>
      </c>
      <c r="E62" s="73">
        <f t="shared" si="0"/>
        <v>14</v>
      </c>
      <c r="F62" s="74">
        <f t="shared" si="1"/>
        <v>1.0490714285714287</v>
      </c>
      <c r="G62" t="s">
        <v>6</v>
      </c>
      <c r="H62" s="83" t="s">
        <v>116</v>
      </c>
      <c r="I62">
        <v>2</v>
      </c>
      <c r="K62" s="68">
        <v>4000000</v>
      </c>
      <c r="L62" s="68">
        <f>($M$54*K62/1000000-$K$54-$L$54)/$N$54</f>
        <v>4</v>
      </c>
      <c r="N62" s="68">
        <f>(L62*$N$54+$K$54+$L$54)/K62*1000000</f>
        <v>10</v>
      </c>
    </row>
    <row r="63" spans="2:14" ht="13.5" thickBot="1">
      <c r="B63" s="68"/>
      <c r="D63" s="68"/>
      <c r="E63" s="68"/>
      <c r="F63" s="68"/>
      <c r="H63" s="83" t="s">
        <v>117</v>
      </c>
      <c r="I63">
        <v>1</v>
      </c>
      <c r="K63" s="68">
        <v>2000000</v>
      </c>
      <c r="L63" s="68">
        <f>($M$54*K63/1000000-$K$54-$L$54)/$N$54</f>
        <v>0</v>
      </c>
      <c r="N63" s="68">
        <f>(L63*$N$54+$K$54+$L$54)/K63*1000000</f>
        <v>10</v>
      </c>
    </row>
    <row r="64" spans="8:14" ht="16.5" thickBot="1">
      <c r="H64" s="83" t="s">
        <v>118</v>
      </c>
      <c r="I64">
        <v>2</v>
      </c>
      <c r="K64" s="102">
        <v>14337000</v>
      </c>
      <c r="L64" s="72">
        <f>INT(((($M$54*K64)/1000000)-$K$54-$L$54+5)/$N$54)</f>
        <v>25</v>
      </c>
      <c r="M64" s="105">
        <v>25</v>
      </c>
      <c r="N64" s="74">
        <f>(M64*$N$54+$K$54+$L$54)/K64*1000000</f>
        <v>10.113691846271884</v>
      </c>
    </row>
    <row r="65" spans="8:10" ht="13.5" thickBot="1">
      <c r="H65" s="83" t="s">
        <v>75</v>
      </c>
      <c r="I65">
        <v>4</v>
      </c>
      <c r="J65" s="62">
        <f>SUM(I62:I65)</f>
        <v>9</v>
      </c>
    </row>
    <row r="68" ht="13.5" thickBot="1"/>
    <row r="69" spans="2:13" ht="12.75">
      <c r="B69" s="92" t="s">
        <v>90</v>
      </c>
      <c r="C69">
        <v>3</v>
      </c>
      <c r="H69" s="68" t="s">
        <v>95</v>
      </c>
      <c r="I69" s="68" t="s">
        <v>94</v>
      </c>
      <c r="J69" s="68" t="s">
        <v>95</v>
      </c>
      <c r="K69" s="68" t="s">
        <v>93</v>
      </c>
      <c r="L69" s="68" t="s">
        <v>92</v>
      </c>
      <c r="M69" s="68" t="s">
        <v>105</v>
      </c>
    </row>
    <row r="70" spans="2:13" ht="13.5" thickBot="1">
      <c r="B70" s="93" t="s">
        <v>121</v>
      </c>
      <c r="C70">
        <v>2</v>
      </c>
      <c r="H70" t="s">
        <v>68</v>
      </c>
      <c r="I70" t="s">
        <v>88</v>
      </c>
      <c r="J70" s="68" t="s">
        <v>20</v>
      </c>
      <c r="K70" s="68" t="s">
        <v>52</v>
      </c>
      <c r="L70" t="s">
        <v>51</v>
      </c>
      <c r="M70" t="s">
        <v>59</v>
      </c>
    </row>
    <row r="71" spans="2:13" ht="13.5" thickBot="1">
      <c r="B71" s="93" t="s">
        <v>122</v>
      </c>
      <c r="C71">
        <v>2</v>
      </c>
      <c r="H71" s="82">
        <f>D75+D90</f>
        <v>22</v>
      </c>
      <c r="I71" s="90">
        <f>C74</f>
        <v>0</v>
      </c>
      <c r="J71" s="111">
        <v>100</v>
      </c>
      <c r="K71" s="103">
        <v>4</v>
      </c>
      <c r="L71" s="88">
        <f>D81</f>
        <v>4</v>
      </c>
      <c r="M71" s="98">
        <f>D84</f>
        <v>4</v>
      </c>
    </row>
    <row r="72" spans="2:11" ht="12.75">
      <c r="B72" s="93" t="s">
        <v>110</v>
      </c>
      <c r="C72">
        <v>1</v>
      </c>
      <c r="I72" s="63"/>
      <c r="K72">
        <v>79</v>
      </c>
    </row>
    <row r="73" spans="2:14" ht="13.5" thickBot="1">
      <c r="B73" s="93" t="s">
        <v>121</v>
      </c>
      <c r="C73">
        <v>2</v>
      </c>
      <c r="H73" s="68" t="s">
        <v>5</v>
      </c>
      <c r="I73" s="68" t="s">
        <v>91</v>
      </c>
      <c r="J73" s="73" t="s">
        <v>91</v>
      </c>
      <c r="K73" s="68" t="s">
        <v>96</v>
      </c>
      <c r="L73" s="68" t="s">
        <v>97</v>
      </c>
      <c r="M73" s="68" t="s">
        <v>107</v>
      </c>
      <c r="N73" s="68" t="s">
        <v>98</v>
      </c>
    </row>
    <row r="74" spans="2:14" ht="16.5" thickBot="1">
      <c r="B74" s="93" t="s">
        <v>19</v>
      </c>
      <c r="C74" s="101">
        <v>0</v>
      </c>
      <c r="D74" s="91">
        <f>C74</f>
        <v>0</v>
      </c>
      <c r="H74" s="68">
        <v>20000000</v>
      </c>
      <c r="I74">
        <f>(($J$71*H74)/1000000-$H$71-$I$71)/($M$71+$L$71*$K$71)</f>
        <v>98.9</v>
      </c>
      <c r="J74" s="77">
        <f>ROUND(I74,0)</f>
        <v>99</v>
      </c>
      <c r="K74" s="76">
        <f>($H$71+$I$71+J74*(4+$L$71*$K$71))*1000000/H74</f>
        <v>100.1</v>
      </c>
      <c r="L74" s="78">
        <f>K74-$J$71</f>
        <v>0.09999999999999432</v>
      </c>
      <c r="M74" s="79">
        <f>L74/$J$71*100</f>
        <v>0.09999999999999432</v>
      </c>
      <c r="N74" s="75">
        <f aca="true" t="shared" si="2" ref="N74:N81">L74*H74/1000000</f>
        <v>1.9999999999998863</v>
      </c>
    </row>
    <row r="75" spans="2:14" ht="16.5" thickBot="1">
      <c r="B75" s="93" t="s">
        <v>124</v>
      </c>
      <c r="C75">
        <v>1</v>
      </c>
      <c r="D75" s="62">
        <f>SUM(C69:C73)+1</f>
        <v>11</v>
      </c>
      <c r="H75" s="68">
        <v>16000000</v>
      </c>
      <c r="I75">
        <f>(($J$71*H75)/1000000-$H$71-$I$71)/($M$71+$L$71*$K$71)</f>
        <v>78.9</v>
      </c>
      <c r="J75" s="77">
        <f aca="true" t="shared" si="3" ref="J75:J81">ROUND(I75,0)</f>
        <v>79</v>
      </c>
      <c r="K75" s="76">
        <f>($H$71+$I$71+J75*(4+$L$71*$K$71))*1000000/H75</f>
        <v>100.125</v>
      </c>
      <c r="L75" s="78">
        <f>K75-$J$71</f>
        <v>0.125</v>
      </c>
      <c r="M75" s="79">
        <f>L75/$J$71*100</f>
        <v>0.125</v>
      </c>
      <c r="N75" s="75">
        <f t="shared" si="2"/>
        <v>2</v>
      </c>
    </row>
    <row r="76" spans="2:14" ht="15.75">
      <c r="B76" s="38" t="s">
        <v>123</v>
      </c>
      <c r="H76" s="68">
        <v>12000000</v>
      </c>
      <c r="I76">
        <f>(($J$71*H76)/1000000-$H$71-$I$71)/($M$71+$L$71*$K$71)</f>
        <v>58.9</v>
      </c>
      <c r="J76" s="77">
        <f t="shared" si="3"/>
        <v>59</v>
      </c>
      <c r="K76" s="76">
        <f>($H$71+$I$71+J76*(4+$L$71*$K$71))*1000000/H76</f>
        <v>100.16666666666667</v>
      </c>
      <c r="L76" s="78">
        <f>K76-$J$71</f>
        <v>0.1666666666666714</v>
      </c>
      <c r="M76" s="79">
        <f>L76/$J$71*100</f>
        <v>0.1666666666666714</v>
      </c>
      <c r="N76" s="75">
        <f t="shared" si="2"/>
        <v>2.000000000000057</v>
      </c>
    </row>
    <row r="77" spans="2:14" ht="15.75">
      <c r="B77" s="97" t="s">
        <v>126</v>
      </c>
      <c r="C77">
        <v>1</v>
      </c>
      <c r="H77" s="68">
        <v>10000000</v>
      </c>
      <c r="I77">
        <f>(($J$71*H77)/1000000-$H$71-$I$71)/($M$71+$L$71*$K$71)</f>
        <v>48.9</v>
      </c>
      <c r="J77" s="77">
        <f t="shared" si="3"/>
        <v>49</v>
      </c>
      <c r="K77" s="76">
        <f>($H$71+$I$71+J77*(4+$L$71*$K$71))*1000000/H77</f>
        <v>100.2</v>
      </c>
      <c r="L77" s="78">
        <f>K77-$J$71</f>
        <v>0.20000000000000284</v>
      </c>
      <c r="M77" s="79">
        <f>L77/$J$71*100</f>
        <v>0.20000000000000281</v>
      </c>
      <c r="N77" s="75">
        <f t="shared" si="2"/>
        <v>2.0000000000000284</v>
      </c>
    </row>
    <row r="78" spans="2:14" ht="16.5" thickBot="1">
      <c r="B78" s="65" t="s">
        <v>127</v>
      </c>
      <c r="H78" s="68">
        <v>8000000</v>
      </c>
      <c r="I78">
        <f>(($J$71*H78)/1000000-$H$71-$I$71)/($M$71+$L$71*$K$71)</f>
        <v>38.9</v>
      </c>
      <c r="J78" s="77">
        <f t="shared" si="3"/>
        <v>39</v>
      </c>
      <c r="K78" s="76">
        <f>($H$71+$I$71+J78*(4+$L$71*$K$71))*1000000/H78</f>
        <v>100.25</v>
      </c>
      <c r="L78" s="78">
        <f>K78-$J$71</f>
        <v>0.25</v>
      </c>
      <c r="M78" s="79">
        <f>L78/$J$71*100</f>
        <v>0.25</v>
      </c>
      <c r="N78" s="75">
        <f t="shared" si="2"/>
        <v>2</v>
      </c>
    </row>
    <row r="79" spans="2:14" ht="16.5" thickBot="1">
      <c r="B79" s="96" t="s">
        <v>19</v>
      </c>
      <c r="C79" s="101">
        <v>1</v>
      </c>
      <c r="H79" s="68">
        <v>4000000</v>
      </c>
      <c r="I79">
        <f>(($J$71*H79)/1000000-$H$71-$I$71)/($M$71+$L$71*$K$71)</f>
        <v>18.9</v>
      </c>
      <c r="J79" s="77">
        <f t="shared" si="3"/>
        <v>19</v>
      </c>
      <c r="K79" s="76">
        <f>($H$71+$I$71+J79*(4+$L$71*$K$71))*1000000/H79</f>
        <v>100.5</v>
      </c>
      <c r="L79" s="78">
        <f>K79-$J$71</f>
        <v>0.5</v>
      </c>
      <c r="M79" s="79">
        <f>L79/$J$71*100</f>
        <v>0.5</v>
      </c>
      <c r="N79" s="75">
        <f t="shared" si="2"/>
        <v>2</v>
      </c>
    </row>
    <row r="80" spans="2:14" ht="16.5" thickBot="1">
      <c r="B80" s="96" t="s">
        <v>114</v>
      </c>
      <c r="C80">
        <v>1</v>
      </c>
      <c r="H80" s="68">
        <v>2000000</v>
      </c>
      <c r="I80">
        <f>(($J$71*H80)/1000000-$H$71-$I$71)/($M$71+$L$71*$K$71)</f>
        <v>8.9</v>
      </c>
      <c r="J80" s="77">
        <f t="shared" si="3"/>
        <v>9</v>
      </c>
      <c r="K80" s="76">
        <f>($H$71+$I$71+J80*(4+$L$71*$K$71))*1000000/H80</f>
        <v>101</v>
      </c>
      <c r="L80" s="78">
        <f>K80-$J$71</f>
        <v>1</v>
      </c>
      <c r="M80" s="79">
        <f>L80/$J$71*100</f>
        <v>1</v>
      </c>
      <c r="N80" s="75">
        <f t="shared" si="2"/>
        <v>2</v>
      </c>
    </row>
    <row r="81" spans="2:14" ht="16.5" thickBot="1">
      <c r="B81" s="96" t="s">
        <v>125</v>
      </c>
      <c r="C81">
        <v>2</v>
      </c>
      <c r="D81" s="87">
        <f>SUM(C79:C81)</f>
        <v>4</v>
      </c>
      <c r="H81" s="102">
        <v>14547000</v>
      </c>
      <c r="I81">
        <f>(($J$71*H81)/1000000-$H$71-$I$71)/($M$71+$L$71*$K$71)</f>
        <v>71.635</v>
      </c>
      <c r="J81" s="77">
        <f t="shared" si="3"/>
        <v>72</v>
      </c>
      <c r="K81" s="76">
        <f>($H$71+$I$71+J81*(4+$L$71*$K$71))*1000000/H81</f>
        <v>100.50182168144634</v>
      </c>
      <c r="L81" s="78">
        <f>K81-$J$71</f>
        <v>0.5018216814463443</v>
      </c>
      <c r="M81" s="79">
        <f>L81/$J$71*100</f>
        <v>0.5018216814463443</v>
      </c>
      <c r="N81" s="75">
        <f t="shared" si="2"/>
        <v>7.299999999999971</v>
      </c>
    </row>
    <row r="82" spans="2:13" ht="13.5" thickBot="1">
      <c r="B82" s="96" t="s">
        <v>19</v>
      </c>
      <c r="C82" t="s">
        <v>120</v>
      </c>
      <c r="M82" s="100"/>
    </row>
    <row r="83" spans="2:14" ht="16.5" thickBot="1">
      <c r="B83" s="97" t="s">
        <v>128</v>
      </c>
      <c r="C83">
        <v>1</v>
      </c>
      <c r="H83" s="48">
        <f>H81</f>
        <v>14547000</v>
      </c>
      <c r="I83">
        <f>INT(((INT(($J$71*$H$83+500000)/1000000)-$H$71-$I$71)/($M$71+$L$71*$K$71)*10+5)/10)</f>
        <v>72</v>
      </c>
      <c r="J83" s="77">
        <f>I83</f>
        <v>72</v>
      </c>
      <c r="K83" s="76">
        <f>($H$71+$I$71+J83*(4+$L$71*$K$71))*1000000/H83</f>
        <v>100.50182168144634</v>
      </c>
      <c r="L83" s="78">
        <f>K83-$J$71</f>
        <v>0.5018216814463443</v>
      </c>
      <c r="M83" s="79">
        <f>L83/$J$71*100</f>
        <v>0.5018216814463443</v>
      </c>
      <c r="N83" s="75">
        <f>L83*H83/1000000</f>
        <v>7.299999999999971</v>
      </c>
    </row>
    <row r="84" spans="2:4" ht="13.5" thickBot="1">
      <c r="B84" s="97" t="s">
        <v>129</v>
      </c>
      <c r="C84">
        <v>2</v>
      </c>
      <c r="D84" s="99">
        <f>C77+C83+C84</f>
        <v>4</v>
      </c>
    </row>
    <row r="85" spans="2:11" ht="12.75">
      <c r="B85" s="97" t="s">
        <v>19</v>
      </c>
      <c r="C85" t="s">
        <v>120</v>
      </c>
      <c r="H85" s="69" t="s">
        <v>99</v>
      </c>
      <c r="I85">
        <f>(($J$71*H83+500000)/1000000)</f>
        <v>1455.2</v>
      </c>
      <c r="K85">
        <f>INT(($J$71*$H$83+500000)/1000000)</f>
        <v>1455</v>
      </c>
    </row>
    <row r="86" spans="2:9" ht="12.75">
      <c r="B86" s="93" t="s">
        <v>118</v>
      </c>
      <c r="C86">
        <v>2</v>
      </c>
      <c r="H86" t="s">
        <v>101</v>
      </c>
      <c r="I86">
        <f>ROUND(I85,0)</f>
        <v>1455</v>
      </c>
    </row>
    <row r="87" spans="2:9" ht="12.75">
      <c r="B87" s="93" t="s">
        <v>117</v>
      </c>
      <c r="C87">
        <v>1</v>
      </c>
      <c r="H87" t="s">
        <v>100</v>
      </c>
      <c r="I87">
        <f>I86-$I$71-$H$71</f>
        <v>1433</v>
      </c>
    </row>
    <row r="88" spans="2:9" ht="12.75">
      <c r="B88" s="93" t="s">
        <v>118</v>
      </c>
      <c r="C88">
        <v>2</v>
      </c>
      <c r="H88" t="s">
        <v>102</v>
      </c>
      <c r="I88">
        <f>4+$K$71*$L$71</f>
        <v>20</v>
      </c>
    </row>
    <row r="89" spans="2:3" ht="13.5" thickBot="1">
      <c r="B89" s="93" t="s">
        <v>116</v>
      </c>
      <c r="C89">
        <v>2</v>
      </c>
    </row>
    <row r="90" spans="2:12" ht="13.5" thickBot="1">
      <c r="B90" s="95" t="s">
        <v>75</v>
      </c>
      <c r="C90">
        <v>4</v>
      </c>
      <c r="D90" s="62">
        <f>SUM(C86:C90)</f>
        <v>11</v>
      </c>
      <c r="H90" s="68">
        <f>I87*10</f>
        <v>14330</v>
      </c>
      <c r="I90" s="68" t="s">
        <v>103</v>
      </c>
      <c r="J90" s="68">
        <f>I88</f>
        <v>20</v>
      </c>
      <c r="K90" s="68" t="s">
        <v>104</v>
      </c>
      <c r="L90" s="68">
        <f>(H90/J90+5)/10</f>
        <v>72.15</v>
      </c>
    </row>
    <row r="91" spans="11:12" ht="12.75">
      <c r="K91" t="s">
        <v>106</v>
      </c>
      <c r="L91" s="73">
        <f>INT(L90)</f>
        <v>72</v>
      </c>
    </row>
    <row r="95" ht="13.5" thickBot="1"/>
    <row r="96" spans="2:13" ht="12.75">
      <c r="B96" s="92" t="s">
        <v>132</v>
      </c>
      <c r="C96">
        <v>3</v>
      </c>
      <c r="H96" s="68" t="s">
        <v>95</v>
      </c>
      <c r="I96" s="68" t="s">
        <v>94</v>
      </c>
      <c r="J96" s="68" t="s">
        <v>95</v>
      </c>
      <c r="K96" s="68" t="s">
        <v>93</v>
      </c>
      <c r="L96" s="68" t="s">
        <v>92</v>
      </c>
      <c r="M96" s="68" t="s">
        <v>105</v>
      </c>
    </row>
    <row r="97" spans="2:13" ht="13.5" thickBot="1">
      <c r="B97" s="93" t="s">
        <v>63</v>
      </c>
      <c r="C97">
        <v>2</v>
      </c>
      <c r="H97" t="s">
        <v>68</v>
      </c>
      <c r="I97" t="s">
        <v>88</v>
      </c>
      <c r="J97" s="68" t="s">
        <v>20</v>
      </c>
      <c r="K97" s="68" t="s">
        <v>87</v>
      </c>
      <c r="L97" t="s">
        <v>51</v>
      </c>
      <c r="M97" t="s">
        <v>59</v>
      </c>
    </row>
    <row r="98" spans="2:12" ht="13.5" thickBot="1">
      <c r="B98" s="93" t="s">
        <v>133</v>
      </c>
      <c r="C98">
        <v>2</v>
      </c>
      <c r="H98" s="62">
        <f>D99+D112</f>
        <v>16</v>
      </c>
      <c r="I98" s="89">
        <f>D100</f>
        <v>0</v>
      </c>
      <c r="J98" s="104">
        <v>18000</v>
      </c>
      <c r="L98" s="87">
        <f>D107</f>
        <v>8</v>
      </c>
    </row>
    <row r="99" spans="2:4" ht="13.5" thickBot="1">
      <c r="B99" s="93" t="s">
        <v>134</v>
      </c>
      <c r="C99">
        <v>1</v>
      </c>
      <c r="D99" s="62">
        <f>SUM(C96:C99)</f>
        <v>8</v>
      </c>
    </row>
    <row r="100" spans="2:9" ht="13.5" thickBot="1">
      <c r="B100" s="93" t="s">
        <v>136</v>
      </c>
      <c r="C100" s="101">
        <v>0</v>
      </c>
      <c r="D100" s="89">
        <f>C100</f>
        <v>0</v>
      </c>
      <c r="H100" s="68" t="s">
        <v>5</v>
      </c>
      <c r="I100" s="68" t="s">
        <v>85</v>
      </c>
    </row>
    <row r="101" spans="2:9" ht="13.5" thickBot="1">
      <c r="B101" s="94" t="s">
        <v>135</v>
      </c>
      <c r="H101" s="68">
        <v>20000000</v>
      </c>
      <c r="I101">
        <f>($J$98*H101/1000000-$H$98-$I$98)/$L$98</f>
        <v>44998</v>
      </c>
    </row>
    <row r="102" spans="2:9" ht="13.5" thickBot="1">
      <c r="B102" s="96" t="s">
        <v>136</v>
      </c>
      <c r="C102" s="101">
        <v>1</v>
      </c>
      <c r="H102" s="68">
        <v>16000000</v>
      </c>
      <c r="I102">
        <f aca="true" t="shared" si="4" ref="I102:I107">($J$98*H102/1000000-$H$98-$I$98)/$L$98</f>
        <v>35998</v>
      </c>
    </row>
    <row r="103" spans="2:9" ht="12.75">
      <c r="B103" s="96" t="s">
        <v>137</v>
      </c>
      <c r="C103">
        <v>1</v>
      </c>
      <c r="H103" s="68">
        <v>12000000</v>
      </c>
      <c r="I103">
        <f t="shared" si="4"/>
        <v>26998</v>
      </c>
    </row>
    <row r="104" spans="2:9" ht="12.75">
      <c r="B104" s="96" t="s">
        <v>138</v>
      </c>
      <c r="C104">
        <v>2</v>
      </c>
      <c r="H104" s="68">
        <v>10000000</v>
      </c>
      <c r="I104">
        <f t="shared" si="4"/>
        <v>22498</v>
      </c>
    </row>
    <row r="105" spans="2:9" ht="12.75">
      <c r="B105" s="96" t="s">
        <v>139</v>
      </c>
      <c r="C105">
        <v>1</v>
      </c>
      <c r="H105" s="68">
        <v>8000000</v>
      </c>
      <c r="I105">
        <f t="shared" si="4"/>
        <v>17998</v>
      </c>
    </row>
    <row r="106" spans="2:9" ht="13.5" thickBot="1">
      <c r="B106" s="96" t="s">
        <v>140</v>
      </c>
      <c r="C106">
        <v>1</v>
      </c>
      <c r="H106" s="68">
        <v>4000000</v>
      </c>
      <c r="I106">
        <f t="shared" si="4"/>
        <v>8998</v>
      </c>
    </row>
    <row r="107" spans="2:9" ht="13.5" thickBot="1">
      <c r="B107" s="96" t="s">
        <v>141</v>
      </c>
      <c r="C107">
        <v>2</v>
      </c>
      <c r="D107" s="87">
        <f>SUM(C102:C107)</f>
        <v>8</v>
      </c>
      <c r="H107" s="68">
        <v>2000000</v>
      </c>
      <c r="I107">
        <f t="shared" si="4"/>
        <v>4498</v>
      </c>
    </row>
    <row r="108" spans="1:9" ht="16.5" thickBot="1">
      <c r="A108" t="s">
        <v>120</v>
      </c>
      <c r="B108" s="96" t="s">
        <v>19</v>
      </c>
      <c r="H108" s="102">
        <v>14547000</v>
      </c>
      <c r="I108">
        <f>INT((((INT($J$98*H108/1000000)-$H$98-$I$98)/$L$98)*10+5)/10)</f>
        <v>32729</v>
      </c>
    </row>
    <row r="109" spans="2:3" ht="13.5" thickBot="1">
      <c r="B109" s="93" t="s">
        <v>142</v>
      </c>
      <c r="C109">
        <v>1</v>
      </c>
    </row>
    <row r="110" spans="2:8" ht="16.5" thickBot="1">
      <c r="B110" s="93" t="s">
        <v>143</v>
      </c>
      <c r="C110">
        <v>2</v>
      </c>
      <c r="H110" s="48">
        <f>H108</f>
        <v>14547000</v>
      </c>
    </row>
    <row r="111" spans="2:3" ht="13.5" thickBot="1">
      <c r="B111" s="93" t="s">
        <v>64</v>
      </c>
      <c r="C111">
        <v>2</v>
      </c>
    </row>
    <row r="112" spans="2:4" ht="13.5" thickBot="1">
      <c r="B112" s="95" t="s">
        <v>75</v>
      </c>
      <c r="C112">
        <v>3</v>
      </c>
      <c r="D112" s="62">
        <f>SUM(C109:C112)</f>
        <v>8</v>
      </c>
    </row>
    <row r="116" ht="13.5" thickBot="1"/>
    <row r="117" spans="2:5" ht="13.5" thickBot="1">
      <c r="B117" s="125" t="s">
        <v>168</v>
      </c>
      <c r="C117" s="126">
        <v>1</v>
      </c>
      <c r="D117" t="s">
        <v>172</v>
      </c>
      <c r="E117" t="s">
        <v>176</v>
      </c>
    </row>
    <row r="118" ht="13.5" thickBot="1">
      <c r="B118" s="124" t="s">
        <v>177</v>
      </c>
    </row>
    <row r="119" spans="2:3" ht="12.75">
      <c r="B119" s="122" t="s">
        <v>146</v>
      </c>
      <c r="C119">
        <v>3</v>
      </c>
    </row>
    <row r="120" spans="2:13" ht="12.75">
      <c r="B120" s="120" t="s">
        <v>144</v>
      </c>
      <c r="H120" s="68" t="s">
        <v>95</v>
      </c>
      <c r="I120" s="68" t="s">
        <v>94</v>
      </c>
      <c r="J120" s="68" t="s">
        <v>94</v>
      </c>
      <c r="K120" s="68" t="s">
        <v>95</v>
      </c>
      <c r="L120" s="68" t="s">
        <v>92</v>
      </c>
      <c r="M120" s="68" t="s">
        <v>105</v>
      </c>
    </row>
    <row r="121" spans="2:13" ht="13.5" thickBot="1">
      <c r="B121" s="120" t="s">
        <v>145</v>
      </c>
      <c r="H121" t="s">
        <v>68</v>
      </c>
      <c r="I121" t="s">
        <v>88</v>
      </c>
      <c r="J121" t="s">
        <v>169</v>
      </c>
      <c r="K121" s="68" t="s">
        <v>20</v>
      </c>
      <c r="L121" t="s">
        <v>51</v>
      </c>
      <c r="M121" t="s">
        <v>59</v>
      </c>
    </row>
    <row r="122" spans="2:13" ht="13.5" thickBot="1">
      <c r="B122" s="120" t="s">
        <v>147</v>
      </c>
      <c r="C122">
        <v>2</v>
      </c>
      <c r="H122" s="62">
        <f>D126+D150</f>
        <v>25</v>
      </c>
      <c r="I122" s="89">
        <f>D127</f>
        <v>0</v>
      </c>
      <c r="J122" s="115">
        <f>D132</f>
        <v>2</v>
      </c>
      <c r="K122" s="62">
        <v>1000</v>
      </c>
      <c r="L122" s="87">
        <f>D140</f>
        <v>8</v>
      </c>
      <c r="M122" s="99">
        <f>D143</f>
        <v>5</v>
      </c>
    </row>
    <row r="123" spans="2:3" ht="12.75">
      <c r="B123" s="120" t="s">
        <v>148</v>
      </c>
      <c r="C123">
        <v>2</v>
      </c>
    </row>
    <row r="124" spans="2:3" ht="12.75">
      <c r="B124" s="120" t="s">
        <v>149</v>
      </c>
      <c r="C124">
        <v>1</v>
      </c>
    </row>
    <row r="125" spans="2:11" ht="13.5" thickBot="1">
      <c r="B125" s="120" t="s">
        <v>150</v>
      </c>
      <c r="C125">
        <v>2</v>
      </c>
      <c r="H125" s="68" t="s">
        <v>5</v>
      </c>
      <c r="I125" s="68" t="s">
        <v>52</v>
      </c>
      <c r="K125" t="s">
        <v>119</v>
      </c>
    </row>
    <row r="126" spans="2:11" ht="13.5" thickBot="1">
      <c r="B126" s="120" t="s">
        <v>151</v>
      </c>
      <c r="C126">
        <v>2</v>
      </c>
      <c r="D126" s="112">
        <f>SUM(C119:C126)</f>
        <v>12</v>
      </c>
      <c r="H126" s="68">
        <v>20000000</v>
      </c>
      <c r="I126">
        <f>INT(((INT(H126/1000000*$K$122)-$H$122-$M$122-$I$122-$J$122)/$L$122*100+500)/100)-2</f>
        <v>2499</v>
      </c>
      <c r="J126" s="116">
        <v>2499</v>
      </c>
      <c r="K126" s="119">
        <f>((J126*$L$122+$M$122+$J$122)*$C$117+$H$122+$I$122)*1000000/H126</f>
        <v>1001.2</v>
      </c>
    </row>
    <row r="127" spans="2:11" ht="13.5" thickBot="1">
      <c r="B127" s="120" t="s">
        <v>19</v>
      </c>
      <c r="C127" s="36">
        <v>0</v>
      </c>
      <c r="D127" s="89">
        <f>C127</f>
        <v>0</v>
      </c>
      <c r="H127" s="68">
        <v>16000000</v>
      </c>
      <c r="I127">
        <f aca="true" t="shared" si="5" ref="I127:I133">INT(((INT(H127/1000000*$K$122)-$H$122-$M$122-$I$122-$J$122)/$L$122*100+500)/100)-2</f>
        <v>1999</v>
      </c>
      <c r="J127" s="117">
        <v>1999</v>
      </c>
      <c r="K127" s="119">
        <f aca="true" t="shared" si="6" ref="K127:K133">((J127*$L$122+$M$122+$J$122)*$C$117+$H$122+$I$122)*1000000/H127</f>
        <v>1001.5</v>
      </c>
    </row>
    <row r="128" spans="2:11" ht="12.75">
      <c r="B128" s="120"/>
      <c r="C128" t="s">
        <v>152</v>
      </c>
      <c r="H128" s="68">
        <v>12000000</v>
      </c>
      <c r="I128">
        <f t="shared" si="5"/>
        <v>1499</v>
      </c>
      <c r="J128" s="117">
        <v>1499</v>
      </c>
      <c r="K128" s="119">
        <f t="shared" si="6"/>
        <v>1002</v>
      </c>
    </row>
    <row r="129" spans="2:11" ht="12.75">
      <c r="B129" s="123" t="s">
        <v>153</v>
      </c>
      <c r="H129" s="68">
        <v>10000000</v>
      </c>
      <c r="I129">
        <f t="shared" si="5"/>
        <v>1249</v>
      </c>
      <c r="J129" s="117">
        <v>1249</v>
      </c>
      <c r="K129" s="119">
        <f t="shared" si="6"/>
        <v>1002.4</v>
      </c>
    </row>
    <row r="130" spans="2:11" ht="12.75">
      <c r="B130" s="97" t="s">
        <v>174</v>
      </c>
      <c r="C130">
        <v>1</v>
      </c>
      <c r="H130" s="68">
        <v>8000000</v>
      </c>
      <c r="I130">
        <f t="shared" si="5"/>
        <v>999</v>
      </c>
      <c r="J130" s="117">
        <v>999</v>
      </c>
      <c r="K130" s="119">
        <f t="shared" si="6"/>
        <v>1003</v>
      </c>
    </row>
    <row r="131" spans="2:11" ht="13.5" thickBot="1">
      <c r="B131" s="97" t="s">
        <v>175</v>
      </c>
      <c r="C131">
        <v>1</v>
      </c>
      <c r="H131" s="68">
        <v>4000000</v>
      </c>
      <c r="I131">
        <f t="shared" si="5"/>
        <v>499</v>
      </c>
      <c r="J131" s="117">
        <v>499</v>
      </c>
      <c r="K131" s="119">
        <f t="shared" si="6"/>
        <v>1006</v>
      </c>
    </row>
    <row r="132" spans="2:11" ht="13.5" thickBot="1">
      <c r="B132" s="97" t="s">
        <v>19</v>
      </c>
      <c r="C132" s="36">
        <v>2</v>
      </c>
      <c r="D132" s="115">
        <f>C132</f>
        <v>2</v>
      </c>
      <c r="H132" s="68">
        <v>2000000</v>
      </c>
      <c r="I132">
        <f t="shared" si="5"/>
        <v>249</v>
      </c>
      <c r="J132" s="117">
        <v>249</v>
      </c>
      <c r="K132" s="119">
        <f t="shared" si="6"/>
        <v>1012</v>
      </c>
    </row>
    <row r="133" spans="2:11" ht="16.5" thickBot="1">
      <c r="B133" s="65" t="s">
        <v>154</v>
      </c>
      <c r="H133" s="102">
        <v>14547000</v>
      </c>
      <c r="I133">
        <f t="shared" si="5"/>
        <v>1817</v>
      </c>
      <c r="J133" s="118">
        <v>1818</v>
      </c>
      <c r="K133" s="119">
        <f t="shared" si="6"/>
        <v>1001.9935381865677</v>
      </c>
    </row>
    <row r="134" spans="2:3" ht="12.75">
      <c r="B134" s="96" t="s">
        <v>19</v>
      </c>
      <c r="C134">
        <v>1</v>
      </c>
    </row>
    <row r="135" spans="2:9" ht="12.75">
      <c r="B135" s="96" t="s">
        <v>155</v>
      </c>
      <c r="C135">
        <v>2</v>
      </c>
      <c r="I135" t="s">
        <v>173</v>
      </c>
    </row>
    <row r="136" spans="2:10" ht="12.75">
      <c r="B136" s="96" t="s">
        <v>156</v>
      </c>
      <c r="C136">
        <v>1</v>
      </c>
      <c r="H136">
        <f>H133</f>
        <v>14547000</v>
      </c>
      <c r="J136">
        <f>H136/1000000*$K$122</f>
        <v>14547</v>
      </c>
    </row>
    <row r="137" spans="2:10" ht="12.75">
      <c r="B137" s="96" t="s">
        <v>157</v>
      </c>
      <c r="C137">
        <v>1</v>
      </c>
      <c r="H137" t="s">
        <v>170</v>
      </c>
      <c r="J137">
        <f>J136-$H$122-$M$122-$I$122-$J$122</f>
        <v>14515</v>
      </c>
    </row>
    <row r="138" spans="2:10" ht="12.75">
      <c r="B138" s="96" t="s">
        <v>158</v>
      </c>
      <c r="C138">
        <v>1</v>
      </c>
      <c r="H138" t="s">
        <v>171</v>
      </c>
      <c r="J138">
        <f>J137/$L$122</f>
        <v>1814.375</v>
      </c>
    </row>
    <row r="139" spans="2:10" ht="13.5" thickBot="1">
      <c r="B139" s="96" t="s">
        <v>159</v>
      </c>
      <c r="C139">
        <v>2</v>
      </c>
      <c r="J139">
        <f>J138*100+500</f>
        <v>181937.5</v>
      </c>
    </row>
    <row r="140" spans="2:10" ht="13.5" thickBot="1">
      <c r="B140" s="96" t="s">
        <v>160</v>
      </c>
      <c r="C140" t="s">
        <v>161</v>
      </c>
      <c r="D140" s="114">
        <f>SUM(C134:C139)</f>
        <v>8</v>
      </c>
      <c r="J140">
        <f>J139/100</f>
        <v>1819.375</v>
      </c>
    </row>
    <row r="141" spans="2:10" ht="12.75">
      <c r="B141" s="97" t="s">
        <v>128</v>
      </c>
      <c r="C141">
        <v>1</v>
      </c>
      <c r="J141">
        <f>INT(J140)-2</f>
        <v>1817</v>
      </c>
    </row>
    <row r="142" spans="2:3" ht="13.5" thickBot="1">
      <c r="B142" s="97" t="s">
        <v>162</v>
      </c>
      <c r="C142">
        <v>2</v>
      </c>
    </row>
    <row r="143" spans="2:4" ht="13.5" thickBot="1">
      <c r="B143" s="97" t="s">
        <v>19</v>
      </c>
      <c r="C143" t="s">
        <v>161</v>
      </c>
      <c r="D143" s="113">
        <f>C130+C131+C141+C142</f>
        <v>5</v>
      </c>
    </row>
    <row r="144" spans="2:3" ht="12.75">
      <c r="B144" s="120"/>
      <c r="C144" t="s">
        <v>152</v>
      </c>
    </row>
    <row r="145" spans="2:3" ht="12.75">
      <c r="B145" s="120" t="s">
        <v>163</v>
      </c>
      <c r="C145">
        <v>2</v>
      </c>
    </row>
    <row r="146" spans="2:3" ht="12.75">
      <c r="B146" s="120" t="s">
        <v>164</v>
      </c>
      <c r="C146">
        <v>2</v>
      </c>
    </row>
    <row r="147" spans="2:3" ht="12.75">
      <c r="B147" s="120" t="s">
        <v>165</v>
      </c>
      <c r="C147">
        <v>1</v>
      </c>
    </row>
    <row r="148" spans="2:3" ht="12.75">
      <c r="B148" s="120" t="s">
        <v>166</v>
      </c>
      <c r="C148">
        <v>2</v>
      </c>
    </row>
    <row r="149" spans="2:3" ht="13.5" thickBot="1">
      <c r="B149" s="120" t="s">
        <v>167</v>
      </c>
      <c r="C149">
        <v>2</v>
      </c>
    </row>
    <row r="150" spans="2:4" ht="13.5" thickBot="1">
      <c r="B150" s="121" t="s">
        <v>75</v>
      </c>
      <c r="C150">
        <v>4</v>
      </c>
      <c r="D150" s="112">
        <f>SUM(C145:C150)</f>
        <v>13</v>
      </c>
    </row>
  </sheetData>
  <conditionalFormatting sqref="K14">
    <cfRule type="cellIs" priority="1" dxfId="0" operator="greaterThan" stopIfTrue="1">
      <formula>255</formula>
    </cfRule>
  </conditionalFormatting>
  <printOptions/>
  <pageMargins left="0.75" right="0.75" top="1" bottom="1" header="0.4921259845" footer="0.4921259845"/>
  <pageSetup fitToHeight="1" fitToWidth="1" horizontalDpi="1200" verticalDpi="12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2017-02-23T22:00:55Z</cp:lastPrinted>
  <dcterms:created xsi:type="dcterms:W3CDTF">2017-02-23T08:08:20Z</dcterms:created>
  <dcterms:modified xsi:type="dcterms:W3CDTF">2017-03-12T20:54:38Z</dcterms:modified>
  <cp:category/>
  <cp:version/>
  <cp:contentType/>
  <cp:contentStatus/>
</cp:coreProperties>
</file>